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0" windowWidth="18195" windowHeight="11310" tabRatio="734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AVAILABILITY'!$A$17:$J$1136</definedName>
    <definedName name="_xlnm.Print_Area" localSheetId="2">'RAP-HEAVY &amp; LIGHT OIL &amp; WTI'!$A$17:$I$1136</definedName>
    <definedName name="_xlnm.Print_Area" localSheetId="0">'RAP-NATURAL GAS PRICES'!$A$17:$S$1136</definedName>
    <definedName name="_xlnm.Print_Area" localSheetId="3">'RAP-SOLID FUEL PRICES'!$A$17:$K$1131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B1037" i="4"/>
  <c r="C1037" i="4"/>
  <c r="D1037" i="4"/>
  <c r="E1037" i="4"/>
  <c r="F1037" i="4"/>
  <c r="G1037" i="4"/>
  <c r="H1037" i="4"/>
  <c r="I1037" i="4"/>
  <c r="J1037" i="4"/>
  <c r="K1037" i="4"/>
  <c r="B1038" i="4"/>
  <c r="C1038" i="4"/>
  <c r="D1038" i="4"/>
  <c r="E1038" i="4"/>
  <c r="F1038" i="4"/>
  <c r="G1038" i="4"/>
  <c r="H1038" i="4"/>
  <c r="I1038" i="4"/>
  <c r="J1038" i="4"/>
  <c r="K1038" i="4"/>
  <c r="B1039" i="4"/>
  <c r="C1039" i="4"/>
  <c r="D1039" i="4"/>
  <c r="E1039" i="4"/>
  <c r="F1039" i="4"/>
  <c r="G1039" i="4"/>
  <c r="H1039" i="4"/>
  <c r="I1039" i="4"/>
  <c r="J1039" i="4"/>
  <c r="K1039" i="4"/>
  <c r="B1040" i="4"/>
  <c r="C1040" i="4"/>
  <c r="D1040" i="4"/>
  <c r="E1040" i="4"/>
  <c r="F1040" i="4"/>
  <c r="G1040" i="4"/>
  <c r="H1040" i="4"/>
  <c r="I1040" i="4"/>
  <c r="J1040" i="4"/>
  <c r="K1040" i="4"/>
  <c r="B1041" i="4"/>
  <c r="C1041" i="4"/>
  <c r="D1041" i="4"/>
  <c r="E1041" i="4"/>
  <c r="F1041" i="4"/>
  <c r="G1041" i="4"/>
  <c r="H1041" i="4"/>
  <c r="I1041" i="4"/>
  <c r="J1041" i="4"/>
  <c r="K1041" i="4"/>
  <c r="B1042" i="4"/>
  <c r="C1042" i="4"/>
  <c r="D1042" i="4"/>
  <c r="E1042" i="4"/>
  <c r="F1042" i="4"/>
  <c r="G1042" i="4"/>
  <c r="H1042" i="4"/>
  <c r="I1042" i="4"/>
  <c r="J1042" i="4"/>
  <c r="K1042" i="4"/>
  <c r="B1043" i="4"/>
  <c r="C1043" i="4"/>
  <c r="D1043" i="4"/>
  <c r="E1043" i="4"/>
  <c r="F1043" i="4"/>
  <c r="G1043" i="4"/>
  <c r="H1043" i="4"/>
  <c r="I1043" i="4"/>
  <c r="J1043" i="4"/>
  <c r="K1043" i="4"/>
  <c r="G1088" i="4"/>
  <c r="C1125" i="4"/>
  <c r="C13" i="3"/>
  <c r="E13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E1069" i="3" s="1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7" i="3"/>
  <c r="C1037" i="3"/>
  <c r="D1037" i="3"/>
  <c r="E1037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D1045" i="3"/>
  <c r="E1045" i="3"/>
  <c r="B1046" i="3"/>
  <c r="C1046" i="3"/>
  <c r="D1046" i="3"/>
  <c r="E1046" i="3"/>
  <c r="B1047" i="3"/>
  <c r="C1047" i="3"/>
  <c r="D1047" i="3"/>
  <c r="E1047" i="3"/>
  <c r="B1048" i="3"/>
  <c r="C1048" i="3"/>
  <c r="D1048" i="3"/>
  <c r="E1048" i="3"/>
  <c r="C1050" i="3"/>
  <c r="D1050" i="3"/>
  <c r="B1051" i="3"/>
  <c r="C1051" i="3"/>
  <c r="D1051" i="3"/>
  <c r="E1051" i="3"/>
  <c r="C1052" i="3"/>
  <c r="D1052" i="3"/>
  <c r="C1053" i="3"/>
  <c r="D1053" i="3"/>
  <c r="E1053" i="3"/>
  <c r="C1054" i="3"/>
  <c r="D1054" i="3"/>
  <c r="C1055" i="3"/>
  <c r="D1055" i="3"/>
  <c r="C1056" i="3"/>
  <c r="D1056" i="3"/>
  <c r="E1056" i="3"/>
  <c r="C1057" i="3"/>
  <c r="D1057" i="3"/>
  <c r="C1058" i="3"/>
  <c r="D1058" i="3"/>
  <c r="E1058" i="3"/>
  <c r="B1059" i="3"/>
  <c r="C1059" i="3"/>
  <c r="D1059" i="3"/>
  <c r="C1060" i="3"/>
  <c r="D1060" i="3"/>
  <c r="E1060" i="3"/>
  <c r="B1061" i="3"/>
  <c r="C1061" i="3"/>
  <c r="D1061" i="3"/>
  <c r="C1062" i="3"/>
  <c r="D1062" i="3"/>
  <c r="B1063" i="3"/>
  <c r="C1063" i="3"/>
  <c r="D1063" i="3"/>
  <c r="C1064" i="3"/>
  <c r="D1064" i="3"/>
  <c r="E1064" i="3"/>
  <c r="B1065" i="3"/>
  <c r="C1065" i="3"/>
  <c r="D1065" i="3"/>
  <c r="C1066" i="3"/>
  <c r="D1066" i="3"/>
  <c r="B1067" i="3"/>
  <c r="C1067" i="3"/>
  <c r="D1067" i="3"/>
  <c r="E1067" i="3"/>
  <c r="C1068" i="3"/>
  <c r="D1068" i="3"/>
  <c r="C1069" i="3"/>
  <c r="D1069" i="3"/>
  <c r="C1070" i="3"/>
  <c r="D1070" i="3"/>
  <c r="C1071" i="3"/>
  <c r="D1071" i="3"/>
  <c r="C1072" i="3"/>
  <c r="D1072" i="3"/>
  <c r="A1073" i="3"/>
  <c r="A1074" i="3" s="1"/>
  <c r="C1073" i="3"/>
  <c r="D1073" i="3"/>
  <c r="C1074" i="3"/>
  <c r="D1074" i="3"/>
  <c r="A1075" i="3"/>
  <c r="A1076" i="3" s="1"/>
  <c r="A1077" i="3" s="1"/>
  <c r="C1075" i="3"/>
  <c r="D1075" i="3"/>
  <c r="B1076" i="3"/>
  <c r="C1076" i="3"/>
  <c r="D1076" i="3"/>
  <c r="C1077" i="3"/>
  <c r="D1077" i="3"/>
  <c r="A1078" i="3"/>
  <c r="A1079" i="3" s="1"/>
  <c r="B1078" i="3"/>
  <c r="C1078" i="3"/>
  <c r="D1078" i="3"/>
  <c r="B1079" i="3"/>
  <c r="C1079" i="3"/>
  <c r="D1079" i="3"/>
  <c r="A1080" i="3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C1080" i="3"/>
  <c r="D1080" i="3"/>
  <c r="C1081" i="3"/>
  <c r="D1081" i="3"/>
  <c r="C1082" i="3"/>
  <c r="D1082" i="3"/>
  <c r="B1083" i="3"/>
  <c r="C1083" i="3"/>
  <c r="D1083" i="3"/>
  <c r="B1084" i="3"/>
  <c r="C1084" i="3"/>
  <c r="D1084" i="3"/>
  <c r="C1085" i="3"/>
  <c r="D1085" i="3"/>
  <c r="B1086" i="3"/>
  <c r="C1086" i="3"/>
  <c r="D1086" i="3"/>
  <c r="B1087" i="3"/>
  <c r="C1087" i="3"/>
  <c r="D1087" i="3"/>
  <c r="C1088" i="3"/>
  <c r="D1088" i="3"/>
  <c r="B1089" i="3"/>
  <c r="C1089" i="3"/>
  <c r="D1089" i="3"/>
  <c r="C1090" i="3"/>
  <c r="D1090" i="3"/>
  <c r="B1091" i="3"/>
  <c r="C1091" i="3"/>
  <c r="D1091" i="3"/>
  <c r="C1092" i="3"/>
  <c r="D1092" i="3"/>
  <c r="C1093" i="3"/>
  <c r="D1093" i="3"/>
  <c r="C1094" i="3"/>
  <c r="D1094" i="3"/>
  <c r="B1095" i="3"/>
  <c r="C1095" i="3"/>
  <c r="D1095" i="3"/>
  <c r="C1096" i="3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50" i="2"/>
  <c r="C1050" i="2"/>
  <c r="D1050" i="2"/>
  <c r="E1050" i="2"/>
  <c r="F1050" i="2"/>
  <c r="G1050" i="2"/>
  <c r="I1050" i="2"/>
  <c r="J1050" i="2"/>
  <c r="B1051" i="2"/>
  <c r="C1051" i="2"/>
  <c r="D1051" i="2"/>
  <c r="E1051" i="2"/>
  <c r="F1051" i="2"/>
  <c r="G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B1059" i="2"/>
  <c r="C1059" i="2"/>
  <c r="D1059" i="2"/>
  <c r="E1059" i="2"/>
  <c r="F1059" i="2"/>
  <c r="G1059" i="2"/>
  <c r="H1059" i="2"/>
  <c r="I1059" i="2"/>
  <c r="J1059" i="2"/>
  <c r="B1060" i="2"/>
  <c r="C1060" i="2"/>
  <c r="D1060" i="2"/>
  <c r="E1060" i="2"/>
  <c r="F1060" i="2"/>
  <c r="G1060" i="2"/>
  <c r="H1060" i="2"/>
  <c r="I1060" i="2"/>
  <c r="J1060" i="2"/>
  <c r="B1061" i="2"/>
  <c r="C1061" i="2"/>
  <c r="D1061" i="2"/>
  <c r="E1061" i="2"/>
  <c r="F1061" i="2"/>
  <c r="G1061" i="2"/>
  <c r="H1061" i="2"/>
  <c r="I1061" i="2"/>
  <c r="J1061" i="2"/>
  <c r="B1062" i="2"/>
  <c r="C1062" i="2"/>
  <c r="D1062" i="2"/>
  <c r="E1062" i="2"/>
  <c r="F1062" i="2"/>
  <c r="G1062" i="2"/>
  <c r="H1062" i="2"/>
  <c r="I1062" i="2"/>
  <c r="J1062" i="2"/>
  <c r="B1063" i="2"/>
  <c r="C1063" i="2"/>
  <c r="D1063" i="2"/>
  <c r="E1063" i="2"/>
  <c r="F1063" i="2"/>
  <c r="G1063" i="2"/>
  <c r="H1063" i="2"/>
  <c r="I1063" i="2"/>
  <c r="J1063" i="2"/>
  <c r="B1064" i="2"/>
  <c r="C1064" i="2"/>
  <c r="D1064" i="2"/>
  <c r="E1064" i="2"/>
  <c r="F1064" i="2"/>
  <c r="G1064" i="2"/>
  <c r="H1064" i="2"/>
  <c r="I1064" i="2"/>
  <c r="J1064" i="2"/>
  <c r="B1065" i="2"/>
  <c r="C1065" i="2"/>
  <c r="D1065" i="2"/>
  <c r="E1065" i="2"/>
  <c r="F1065" i="2"/>
  <c r="G1065" i="2"/>
  <c r="H1065" i="2"/>
  <c r="I1065" i="2"/>
  <c r="J1065" i="2"/>
  <c r="B1066" i="2"/>
  <c r="C1066" i="2"/>
  <c r="D1066" i="2"/>
  <c r="E1066" i="2"/>
  <c r="F1066" i="2"/>
  <c r="G1066" i="2"/>
  <c r="H1066" i="2"/>
  <c r="I1066" i="2"/>
  <c r="J1066" i="2"/>
  <c r="B1067" i="2"/>
  <c r="C1067" i="2"/>
  <c r="D1067" i="2"/>
  <c r="E1067" i="2"/>
  <c r="F1067" i="2"/>
  <c r="G1067" i="2"/>
  <c r="H1067" i="2"/>
  <c r="I1067" i="2"/>
  <c r="J1067" i="2"/>
  <c r="B1068" i="2"/>
  <c r="C1068" i="2"/>
  <c r="D1068" i="2"/>
  <c r="E1068" i="2"/>
  <c r="F1068" i="2"/>
  <c r="G1068" i="2"/>
  <c r="H1068" i="2"/>
  <c r="I1068" i="2"/>
  <c r="J1068" i="2"/>
  <c r="B1069" i="2"/>
  <c r="C1069" i="2"/>
  <c r="D1069" i="2"/>
  <c r="E1069" i="2"/>
  <c r="F1069" i="2"/>
  <c r="G1069" i="2"/>
  <c r="H1069" i="2"/>
  <c r="I1069" i="2"/>
  <c r="J1069" i="2"/>
  <c r="B1070" i="2"/>
  <c r="C1070" i="2"/>
  <c r="D1070" i="2"/>
  <c r="E1070" i="2"/>
  <c r="F1070" i="2"/>
  <c r="G1070" i="2"/>
  <c r="H1070" i="2"/>
  <c r="I1070" i="2"/>
  <c r="J1070" i="2"/>
  <c r="B1071" i="2"/>
  <c r="C1071" i="2"/>
  <c r="D1071" i="2"/>
  <c r="E1071" i="2"/>
  <c r="F1071" i="2"/>
  <c r="G1071" i="2"/>
  <c r="H1071" i="2"/>
  <c r="I1071" i="2"/>
  <c r="J1071" i="2"/>
  <c r="B1072" i="2"/>
  <c r="C1072" i="2"/>
  <c r="D1072" i="2"/>
  <c r="E1072" i="2"/>
  <c r="F1072" i="2"/>
  <c r="G1072" i="2"/>
  <c r="H1072" i="2"/>
  <c r="I1072" i="2"/>
  <c r="J1072" i="2"/>
  <c r="A1073" i="2"/>
  <c r="B1073" i="2" s="1"/>
  <c r="C1073" i="2"/>
  <c r="D1073" i="2"/>
  <c r="E1073" i="2"/>
  <c r="F1073" i="2"/>
  <c r="G1073" i="2"/>
  <c r="H1073" i="2"/>
  <c r="I1073" i="2"/>
  <c r="J1073" i="2"/>
  <c r="A1074" i="2"/>
  <c r="B1074" i="2"/>
  <c r="C1074" i="2"/>
  <c r="D1074" i="2"/>
  <c r="E1074" i="2"/>
  <c r="F1074" i="2"/>
  <c r="G1074" i="2"/>
  <c r="H1074" i="2"/>
  <c r="I1074" i="2"/>
  <c r="J1074" i="2"/>
  <c r="A1075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C1083" i="2"/>
  <c r="D1083" i="2"/>
  <c r="E1083" i="2"/>
  <c r="F1083" i="2"/>
  <c r="G1083" i="2"/>
  <c r="H1083" i="2"/>
  <c r="I1083" i="2"/>
  <c r="J1083" i="2"/>
  <c r="C1084" i="2"/>
  <c r="D1084" i="2"/>
  <c r="E1084" i="2"/>
  <c r="F1084" i="2"/>
  <c r="G1084" i="2"/>
  <c r="H1084" i="2"/>
  <c r="I1084" i="2"/>
  <c r="J1084" i="2"/>
  <c r="C1085" i="2"/>
  <c r="D1085" i="2"/>
  <c r="E1085" i="2"/>
  <c r="F1085" i="2"/>
  <c r="G1085" i="2"/>
  <c r="H1085" i="2"/>
  <c r="I1085" i="2"/>
  <c r="J1085" i="2"/>
  <c r="C1086" i="2"/>
  <c r="D1086" i="2"/>
  <c r="E1086" i="2"/>
  <c r="F1086" i="2"/>
  <c r="G1086" i="2"/>
  <c r="H1086" i="2"/>
  <c r="I1086" i="2"/>
  <c r="J1086" i="2"/>
  <c r="C1087" i="2"/>
  <c r="D1087" i="2"/>
  <c r="E1087" i="2"/>
  <c r="F1087" i="2"/>
  <c r="G1087" i="2"/>
  <c r="H1087" i="2"/>
  <c r="I1087" i="2"/>
  <c r="J1087" i="2"/>
  <c r="C1088" i="2"/>
  <c r="D1088" i="2"/>
  <c r="E1088" i="2"/>
  <c r="F1088" i="2"/>
  <c r="G1088" i="2"/>
  <c r="H1088" i="2"/>
  <c r="I1088" i="2"/>
  <c r="J1088" i="2"/>
  <c r="C1089" i="2"/>
  <c r="D1089" i="2"/>
  <c r="E1089" i="2"/>
  <c r="F1089" i="2"/>
  <c r="G1089" i="2"/>
  <c r="H1089" i="2"/>
  <c r="I1089" i="2"/>
  <c r="J1089" i="2"/>
  <c r="C1090" i="2"/>
  <c r="D1090" i="2"/>
  <c r="E1090" i="2"/>
  <c r="F1090" i="2"/>
  <c r="G1090" i="2"/>
  <c r="H1090" i="2"/>
  <c r="I1090" i="2"/>
  <c r="J1090" i="2"/>
  <c r="C1091" i="2"/>
  <c r="D1091" i="2"/>
  <c r="E1091" i="2"/>
  <c r="F1091" i="2"/>
  <c r="G1091" i="2"/>
  <c r="H1091" i="2"/>
  <c r="I1091" i="2"/>
  <c r="J1091" i="2"/>
  <c r="C1092" i="2"/>
  <c r="D1092" i="2"/>
  <c r="E1092" i="2"/>
  <c r="F1092" i="2"/>
  <c r="G1092" i="2"/>
  <c r="H1092" i="2"/>
  <c r="I1092" i="2"/>
  <c r="J1092" i="2"/>
  <c r="C1093" i="2"/>
  <c r="D1093" i="2"/>
  <c r="E1093" i="2"/>
  <c r="F1093" i="2"/>
  <c r="G1093" i="2"/>
  <c r="H1093" i="2"/>
  <c r="I1093" i="2"/>
  <c r="J1093" i="2"/>
  <c r="C1094" i="2"/>
  <c r="D1094" i="2"/>
  <c r="E1094" i="2"/>
  <c r="F1094" i="2"/>
  <c r="G1094" i="2"/>
  <c r="H1094" i="2"/>
  <c r="I1094" i="2"/>
  <c r="J1094" i="2"/>
  <c r="C1095" i="2"/>
  <c r="D1095" i="2"/>
  <c r="E1095" i="2"/>
  <c r="F1095" i="2"/>
  <c r="G1095" i="2"/>
  <c r="H1095" i="2"/>
  <c r="I1095" i="2"/>
  <c r="J1095" i="2"/>
  <c r="C1096" i="2"/>
  <c r="D1096" i="2"/>
  <c r="E1096" i="2"/>
  <c r="F1096" i="2"/>
  <c r="G1096" i="2"/>
  <c r="H1096" i="2"/>
  <c r="I1096" i="2"/>
  <c r="J1096" i="2"/>
  <c r="D11" i="1"/>
  <c r="F11" i="1"/>
  <c r="B17" i="1"/>
  <c r="C17" i="1"/>
  <c r="D17" i="1"/>
  <c r="E17" i="1"/>
  <c r="F17" i="1"/>
  <c r="G17" i="1"/>
  <c r="H17" i="1"/>
  <c r="I17" i="1"/>
  <c r="J17" i="1"/>
  <c r="K17" i="1"/>
  <c r="R17" i="1"/>
  <c r="B18" i="1"/>
  <c r="C18" i="1"/>
  <c r="D18" i="1"/>
  <c r="E18" i="1"/>
  <c r="F18" i="1"/>
  <c r="G18" i="1"/>
  <c r="H18" i="1"/>
  <c r="I18" i="1"/>
  <c r="J18" i="1"/>
  <c r="K18" i="1"/>
  <c r="R18" i="1"/>
  <c r="B19" i="1"/>
  <c r="C19" i="1"/>
  <c r="D19" i="1"/>
  <c r="E19" i="1"/>
  <c r="F19" i="1"/>
  <c r="G19" i="1"/>
  <c r="H19" i="1"/>
  <c r="I19" i="1"/>
  <c r="J19" i="1"/>
  <c r="K19" i="1"/>
  <c r="R19" i="1"/>
  <c r="B20" i="1"/>
  <c r="C20" i="1"/>
  <c r="D20" i="1"/>
  <c r="E20" i="1"/>
  <c r="F20" i="1"/>
  <c r="G20" i="1"/>
  <c r="H20" i="1"/>
  <c r="I20" i="1"/>
  <c r="J20" i="1"/>
  <c r="K20" i="1"/>
  <c r="R20" i="1"/>
  <c r="B21" i="1"/>
  <c r="C21" i="1"/>
  <c r="D21" i="1"/>
  <c r="E21" i="1"/>
  <c r="F21" i="1"/>
  <c r="G21" i="1"/>
  <c r="H21" i="1"/>
  <c r="I21" i="1"/>
  <c r="J21" i="1"/>
  <c r="K21" i="1"/>
  <c r="R21" i="1"/>
  <c r="B22" i="1"/>
  <c r="C22" i="1"/>
  <c r="D22" i="1"/>
  <c r="E22" i="1"/>
  <c r="F22" i="1"/>
  <c r="G22" i="1"/>
  <c r="H22" i="1"/>
  <c r="I22" i="1"/>
  <c r="J22" i="1"/>
  <c r="K22" i="1"/>
  <c r="R22" i="1"/>
  <c r="B23" i="1"/>
  <c r="C23" i="1"/>
  <c r="D23" i="1"/>
  <c r="E23" i="1"/>
  <c r="F23" i="1"/>
  <c r="G23" i="1"/>
  <c r="H23" i="1"/>
  <c r="I23" i="1"/>
  <c r="J23" i="1"/>
  <c r="K23" i="1"/>
  <c r="R23" i="1"/>
  <c r="B24" i="1"/>
  <c r="C24" i="1"/>
  <c r="D24" i="1"/>
  <c r="E24" i="1"/>
  <c r="F24" i="1"/>
  <c r="G24" i="1"/>
  <c r="H24" i="1"/>
  <c r="I24" i="1"/>
  <c r="J24" i="1"/>
  <c r="K24" i="1"/>
  <c r="R24" i="1"/>
  <c r="B25" i="1"/>
  <c r="C25" i="1"/>
  <c r="D25" i="1"/>
  <c r="E25" i="1"/>
  <c r="F25" i="1"/>
  <c r="G25" i="1"/>
  <c r="H25" i="1"/>
  <c r="I25" i="1"/>
  <c r="J25" i="1"/>
  <c r="K25" i="1"/>
  <c r="R25" i="1"/>
  <c r="B26" i="1"/>
  <c r="C26" i="1"/>
  <c r="D26" i="1"/>
  <c r="E26" i="1"/>
  <c r="F26" i="1"/>
  <c r="G26" i="1"/>
  <c r="H26" i="1"/>
  <c r="I26" i="1"/>
  <c r="J26" i="1"/>
  <c r="K26" i="1"/>
  <c r="R26" i="1"/>
  <c r="B27" i="1"/>
  <c r="C27" i="1"/>
  <c r="D27" i="1"/>
  <c r="E27" i="1"/>
  <c r="F27" i="1"/>
  <c r="G27" i="1"/>
  <c r="H27" i="1"/>
  <c r="I27" i="1"/>
  <c r="J27" i="1"/>
  <c r="K27" i="1"/>
  <c r="R27" i="1"/>
  <c r="B28" i="1"/>
  <c r="C28" i="1"/>
  <c r="D28" i="1"/>
  <c r="E28" i="1"/>
  <c r="F28" i="1"/>
  <c r="G28" i="1"/>
  <c r="H28" i="1"/>
  <c r="I28" i="1"/>
  <c r="J28" i="1"/>
  <c r="K28" i="1"/>
  <c r="R28" i="1"/>
  <c r="B29" i="1"/>
  <c r="C29" i="1"/>
  <c r="D29" i="1"/>
  <c r="E29" i="1"/>
  <c r="F29" i="1"/>
  <c r="G29" i="1"/>
  <c r="H29" i="1"/>
  <c r="I29" i="1"/>
  <c r="J29" i="1"/>
  <c r="R29" i="1"/>
  <c r="B30" i="1"/>
  <c r="C30" i="1"/>
  <c r="D30" i="1"/>
  <c r="E30" i="1"/>
  <c r="F30" i="1"/>
  <c r="G30" i="1"/>
  <c r="H30" i="1"/>
  <c r="I30" i="1"/>
  <c r="J30" i="1"/>
  <c r="R30" i="1"/>
  <c r="B31" i="1"/>
  <c r="C31" i="1"/>
  <c r="D31" i="1"/>
  <c r="E31" i="1"/>
  <c r="F31" i="1"/>
  <c r="G31" i="1"/>
  <c r="H31" i="1"/>
  <c r="I31" i="1"/>
  <c r="J31" i="1"/>
  <c r="R31" i="1"/>
  <c r="B32" i="1"/>
  <c r="C32" i="1"/>
  <c r="D32" i="1"/>
  <c r="E32" i="1"/>
  <c r="F32" i="1"/>
  <c r="G32" i="1"/>
  <c r="H32" i="1"/>
  <c r="I32" i="1"/>
  <c r="J32" i="1"/>
  <c r="R32" i="1"/>
  <c r="B33" i="1"/>
  <c r="C33" i="1"/>
  <c r="D33" i="1"/>
  <c r="E33" i="1"/>
  <c r="F33" i="1"/>
  <c r="G33" i="1"/>
  <c r="H33" i="1"/>
  <c r="I33" i="1"/>
  <c r="J33" i="1"/>
  <c r="R33" i="1"/>
  <c r="B34" i="1"/>
  <c r="C34" i="1"/>
  <c r="D34" i="1"/>
  <c r="E34" i="1"/>
  <c r="F34" i="1"/>
  <c r="G34" i="1"/>
  <c r="H34" i="1"/>
  <c r="I34" i="1"/>
  <c r="J34" i="1"/>
  <c r="R34" i="1"/>
  <c r="B35" i="1"/>
  <c r="C35" i="1"/>
  <c r="D35" i="1"/>
  <c r="E35" i="1"/>
  <c r="F35" i="1"/>
  <c r="G35" i="1"/>
  <c r="H35" i="1"/>
  <c r="I35" i="1"/>
  <c r="J35" i="1"/>
  <c r="R35" i="1"/>
  <c r="B36" i="1"/>
  <c r="C36" i="1"/>
  <c r="D36" i="1"/>
  <c r="E36" i="1"/>
  <c r="F36" i="1"/>
  <c r="G36" i="1"/>
  <c r="H36" i="1"/>
  <c r="I36" i="1"/>
  <c r="J36" i="1"/>
  <c r="R36" i="1"/>
  <c r="B37" i="1"/>
  <c r="C37" i="1"/>
  <c r="D37" i="1"/>
  <c r="E37" i="1"/>
  <c r="F37" i="1"/>
  <c r="G37" i="1"/>
  <c r="H37" i="1"/>
  <c r="I37" i="1"/>
  <c r="J37" i="1"/>
  <c r="R37" i="1"/>
  <c r="B38" i="1"/>
  <c r="C38" i="1"/>
  <c r="D38" i="1"/>
  <c r="E38" i="1"/>
  <c r="F38" i="1"/>
  <c r="G38" i="1"/>
  <c r="H38" i="1"/>
  <c r="I38" i="1"/>
  <c r="J38" i="1"/>
  <c r="R38" i="1"/>
  <c r="B39" i="1"/>
  <c r="C39" i="1"/>
  <c r="D39" i="1"/>
  <c r="E39" i="1"/>
  <c r="F39" i="1"/>
  <c r="G39" i="1"/>
  <c r="H39" i="1"/>
  <c r="I39" i="1"/>
  <c r="J39" i="1"/>
  <c r="R39" i="1"/>
  <c r="B40" i="1"/>
  <c r="C40" i="1"/>
  <c r="D40" i="1"/>
  <c r="E40" i="1"/>
  <c r="F40" i="1"/>
  <c r="G40" i="1"/>
  <c r="H40" i="1"/>
  <c r="I40" i="1"/>
  <c r="J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H1128" i="1" s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B1129" i="1" s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H1129" i="1" s="1"/>
  <c r="I969" i="1"/>
  <c r="J969" i="1"/>
  <c r="B970" i="1"/>
  <c r="C970" i="1"/>
  <c r="D970" i="1"/>
  <c r="E970" i="1"/>
  <c r="F970" i="1"/>
  <c r="G970" i="1"/>
  <c r="G1129" i="1" s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D1131" i="1" s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H1133" i="1" s="1"/>
  <c r="I1013" i="1"/>
  <c r="J1013" i="1"/>
  <c r="B1014" i="1"/>
  <c r="C1014" i="1"/>
  <c r="D1014" i="1"/>
  <c r="E1014" i="1"/>
  <c r="F1014" i="1"/>
  <c r="G1014" i="1"/>
  <c r="G1133" i="1" s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B1134" i="1" s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7" i="1"/>
  <c r="C1037" i="1"/>
  <c r="D1037" i="1"/>
  <c r="E1037" i="1"/>
  <c r="F1037" i="1"/>
  <c r="G1037" i="1"/>
  <c r="H1037" i="1"/>
  <c r="I1037" i="1"/>
  <c r="J1037" i="1"/>
  <c r="B1038" i="1"/>
  <c r="C1038" i="1"/>
  <c r="D1038" i="1"/>
  <c r="E1038" i="1"/>
  <c r="F1038" i="1"/>
  <c r="G1038" i="1"/>
  <c r="H1038" i="1"/>
  <c r="I1038" i="1"/>
  <c r="J1038" i="1"/>
  <c r="B1039" i="1"/>
  <c r="C1039" i="1"/>
  <c r="D1039" i="1"/>
  <c r="E1039" i="1"/>
  <c r="F1039" i="1"/>
  <c r="G1039" i="1"/>
  <c r="H1039" i="1"/>
  <c r="I1039" i="1"/>
  <c r="J1039" i="1"/>
  <c r="J1135" i="1" s="1"/>
  <c r="B1040" i="1"/>
  <c r="C1040" i="1"/>
  <c r="D1040" i="1"/>
  <c r="E1040" i="1"/>
  <c r="F1040" i="1"/>
  <c r="G1040" i="1"/>
  <c r="H1040" i="1"/>
  <c r="I1040" i="1"/>
  <c r="I1135" i="1" s="1"/>
  <c r="J1040" i="1"/>
  <c r="B1041" i="1"/>
  <c r="C1041" i="1"/>
  <c r="D1041" i="1"/>
  <c r="E1041" i="1"/>
  <c r="F1041" i="1"/>
  <c r="G1041" i="1"/>
  <c r="H1041" i="1"/>
  <c r="I1041" i="1"/>
  <c r="J1041" i="1"/>
  <c r="B1042" i="1"/>
  <c r="C1042" i="1"/>
  <c r="D1042" i="1"/>
  <c r="E1042" i="1"/>
  <c r="F1042" i="1"/>
  <c r="G1042" i="1"/>
  <c r="H1042" i="1"/>
  <c r="I1042" i="1"/>
  <c r="J1042" i="1"/>
  <c r="B1043" i="1"/>
  <c r="C1043" i="1"/>
  <c r="D1043" i="1"/>
  <c r="E1043" i="1"/>
  <c r="F1043" i="1"/>
  <c r="G1043" i="1"/>
  <c r="H1043" i="1"/>
  <c r="I1043" i="1"/>
  <c r="J1043" i="1"/>
  <c r="B1044" i="1"/>
  <c r="C1044" i="1"/>
  <c r="D1044" i="1"/>
  <c r="E1044" i="1"/>
  <c r="F1044" i="1"/>
  <c r="G1044" i="1"/>
  <c r="H1044" i="1"/>
  <c r="I1044" i="1"/>
  <c r="J1044" i="1"/>
  <c r="B1045" i="1"/>
  <c r="C1045" i="1"/>
  <c r="D1045" i="1"/>
  <c r="E1045" i="1"/>
  <c r="F1045" i="1"/>
  <c r="G1045" i="1"/>
  <c r="H1045" i="1"/>
  <c r="I1045" i="1"/>
  <c r="J1045" i="1"/>
  <c r="B1046" i="1"/>
  <c r="C1046" i="1"/>
  <c r="D1046" i="1"/>
  <c r="E1046" i="1"/>
  <c r="F1046" i="1"/>
  <c r="G1046" i="1"/>
  <c r="H1046" i="1"/>
  <c r="I1046" i="1"/>
  <c r="J1046" i="1"/>
  <c r="B1047" i="1"/>
  <c r="C1047" i="1"/>
  <c r="D1047" i="1"/>
  <c r="E1047" i="1"/>
  <c r="F1047" i="1"/>
  <c r="G1047" i="1"/>
  <c r="H1047" i="1"/>
  <c r="I1047" i="1"/>
  <c r="J1047" i="1"/>
  <c r="B1048" i="1"/>
  <c r="C1048" i="1"/>
  <c r="D1048" i="1"/>
  <c r="E1048" i="1"/>
  <c r="F1048" i="1"/>
  <c r="G1048" i="1"/>
  <c r="H1048" i="1"/>
  <c r="I1048" i="1"/>
  <c r="J1048" i="1"/>
  <c r="B1050" i="1"/>
  <c r="H1050" i="1"/>
  <c r="L1050" i="1"/>
  <c r="M1050" i="1"/>
  <c r="N1050" i="1"/>
  <c r="O1050" i="1"/>
  <c r="P1050" i="1"/>
  <c r="R1050" i="1"/>
  <c r="S1050" i="1"/>
  <c r="G1051" i="1"/>
  <c r="H1051" i="1"/>
  <c r="L1051" i="1"/>
  <c r="M1051" i="1"/>
  <c r="N1051" i="1"/>
  <c r="O1051" i="1"/>
  <c r="P1051" i="1"/>
  <c r="R1051" i="1"/>
  <c r="H1052" i="1"/>
  <c r="I1052" i="1"/>
  <c r="J1052" i="1"/>
  <c r="L1052" i="1"/>
  <c r="M1052" i="1"/>
  <c r="N1052" i="1"/>
  <c r="O1052" i="1"/>
  <c r="P1052" i="1"/>
  <c r="Q1052" i="1"/>
  <c r="B1053" i="1"/>
  <c r="C1053" i="1"/>
  <c r="D1053" i="1"/>
  <c r="L1053" i="1"/>
  <c r="M1053" i="1"/>
  <c r="N1053" i="1"/>
  <c r="O1053" i="1"/>
  <c r="P1053" i="1"/>
  <c r="Q1053" i="1"/>
  <c r="L1054" i="1"/>
  <c r="M1054" i="1"/>
  <c r="N1054" i="1"/>
  <c r="O1054" i="1"/>
  <c r="P1054" i="1"/>
  <c r="Q1054" i="1"/>
  <c r="E1055" i="1"/>
  <c r="F1055" i="1"/>
  <c r="G1055" i="1"/>
  <c r="L1055" i="1"/>
  <c r="M1055" i="1"/>
  <c r="N1055" i="1"/>
  <c r="O1055" i="1"/>
  <c r="P1055" i="1"/>
  <c r="Q1055" i="1"/>
  <c r="D1056" i="1"/>
  <c r="E1056" i="1"/>
  <c r="H1056" i="1"/>
  <c r="L1056" i="1"/>
  <c r="M1056" i="1"/>
  <c r="N1056" i="1"/>
  <c r="O1056" i="1"/>
  <c r="P1056" i="1"/>
  <c r="Q1056" i="1"/>
  <c r="F1057" i="1"/>
  <c r="G1057" i="1"/>
  <c r="L1057" i="1"/>
  <c r="M1057" i="1"/>
  <c r="N1057" i="1"/>
  <c r="O1057" i="1"/>
  <c r="P1057" i="1"/>
  <c r="Q1057" i="1"/>
  <c r="L1058" i="1"/>
  <c r="M1058" i="1"/>
  <c r="N1058" i="1"/>
  <c r="O1058" i="1"/>
  <c r="P1058" i="1"/>
  <c r="Q1058" i="1"/>
  <c r="I1059" i="1"/>
  <c r="J1059" i="1"/>
  <c r="L1059" i="1"/>
  <c r="M1059" i="1"/>
  <c r="N1059" i="1"/>
  <c r="O1059" i="1"/>
  <c r="P1059" i="1"/>
  <c r="Q1059" i="1"/>
  <c r="B1060" i="1"/>
  <c r="C1060" i="1"/>
  <c r="D1060" i="1"/>
  <c r="H1060" i="1"/>
  <c r="L1060" i="1"/>
  <c r="M1060" i="1"/>
  <c r="N1060" i="1"/>
  <c r="O1060" i="1"/>
  <c r="P1060" i="1"/>
  <c r="Q1060" i="1"/>
  <c r="D1061" i="1"/>
  <c r="E1061" i="1"/>
  <c r="L1061" i="1"/>
  <c r="M1061" i="1"/>
  <c r="N1061" i="1"/>
  <c r="O1061" i="1"/>
  <c r="P1061" i="1"/>
  <c r="Q1061" i="1"/>
  <c r="L1062" i="1"/>
  <c r="M1062" i="1"/>
  <c r="N1062" i="1"/>
  <c r="O1062" i="1"/>
  <c r="P1062" i="1"/>
  <c r="Q1062" i="1"/>
  <c r="G1063" i="1"/>
  <c r="L1063" i="1"/>
  <c r="M1063" i="1"/>
  <c r="N1063" i="1"/>
  <c r="O1063" i="1"/>
  <c r="P1063" i="1"/>
  <c r="Q1063" i="1"/>
  <c r="E1064" i="1"/>
  <c r="F1064" i="1"/>
  <c r="G1064" i="1"/>
  <c r="H1064" i="1"/>
  <c r="L1064" i="1"/>
  <c r="M1064" i="1"/>
  <c r="N1064" i="1"/>
  <c r="O1064" i="1"/>
  <c r="P1064" i="1"/>
  <c r="Q1064" i="1"/>
  <c r="E1065" i="1"/>
  <c r="F1065" i="1"/>
  <c r="L1065" i="1"/>
  <c r="M1065" i="1"/>
  <c r="N1065" i="1"/>
  <c r="O1065" i="1"/>
  <c r="P1065" i="1"/>
  <c r="Q1065" i="1"/>
  <c r="F1066" i="1"/>
  <c r="L1066" i="1"/>
  <c r="M1066" i="1"/>
  <c r="N1066" i="1"/>
  <c r="O1066" i="1"/>
  <c r="P1066" i="1"/>
  <c r="Q1066" i="1"/>
  <c r="G1067" i="1"/>
  <c r="J1067" i="1"/>
  <c r="L1067" i="1"/>
  <c r="M1067" i="1"/>
  <c r="N1067" i="1"/>
  <c r="O1067" i="1"/>
  <c r="P1067" i="1"/>
  <c r="Q1067" i="1"/>
  <c r="C1068" i="1"/>
  <c r="D1068" i="1"/>
  <c r="H1068" i="1"/>
  <c r="I1068" i="1"/>
  <c r="L1068" i="1"/>
  <c r="M1068" i="1"/>
  <c r="N1068" i="1"/>
  <c r="O1068" i="1"/>
  <c r="P1068" i="1"/>
  <c r="Q1068" i="1"/>
  <c r="B1069" i="1"/>
  <c r="L1069" i="1"/>
  <c r="M1069" i="1"/>
  <c r="N1069" i="1"/>
  <c r="O1069" i="1"/>
  <c r="P1069" i="1"/>
  <c r="Q1069" i="1"/>
  <c r="F1070" i="1"/>
  <c r="J1070" i="1"/>
  <c r="L1070" i="1"/>
  <c r="M1070" i="1"/>
  <c r="N1070" i="1"/>
  <c r="O1070" i="1"/>
  <c r="P1070" i="1"/>
  <c r="Q1070" i="1"/>
  <c r="C1071" i="1"/>
  <c r="D1071" i="1"/>
  <c r="E1071" i="1"/>
  <c r="L1071" i="1"/>
  <c r="M1071" i="1"/>
  <c r="N1071" i="1"/>
  <c r="O1071" i="1"/>
  <c r="P1071" i="1"/>
  <c r="Q1071" i="1"/>
  <c r="F1072" i="1"/>
  <c r="G1072" i="1"/>
  <c r="H1072" i="1"/>
  <c r="L1072" i="1"/>
  <c r="M1072" i="1"/>
  <c r="N1072" i="1"/>
  <c r="O1072" i="1"/>
  <c r="P1072" i="1"/>
  <c r="Q1072" i="1"/>
  <c r="A1073" i="1"/>
  <c r="D1073" i="1"/>
  <c r="L1073" i="1"/>
  <c r="M1073" i="1"/>
  <c r="N1073" i="1"/>
  <c r="O1073" i="1"/>
  <c r="P1073" i="1"/>
  <c r="Q1073" i="1"/>
  <c r="A1074" i="1"/>
  <c r="H1074" i="1"/>
  <c r="L1074" i="1"/>
  <c r="M1074" i="1"/>
  <c r="N1074" i="1"/>
  <c r="O1074" i="1"/>
  <c r="P1074" i="1"/>
  <c r="Q1074" i="1"/>
  <c r="A1075" i="1"/>
  <c r="D1075" i="1"/>
  <c r="E1075" i="1"/>
  <c r="F1075" i="1"/>
  <c r="G1075" i="1"/>
  <c r="L1075" i="1"/>
  <c r="M1075" i="1"/>
  <c r="N1075" i="1"/>
  <c r="O1075" i="1"/>
  <c r="P1075" i="1"/>
  <c r="Q1075" i="1"/>
  <c r="A1076" i="1"/>
  <c r="F1076" i="1"/>
  <c r="L1076" i="1"/>
  <c r="M1076" i="1"/>
  <c r="N1076" i="1"/>
  <c r="O1076" i="1"/>
  <c r="P1076" i="1"/>
  <c r="Q1076" i="1"/>
  <c r="A1077" i="1"/>
  <c r="G1077" i="1"/>
  <c r="L1077" i="1"/>
  <c r="M1077" i="1"/>
  <c r="N1077" i="1"/>
  <c r="O1077" i="1"/>
  <c r="P1077" i="1"/>
  <c r="Q1077" i="1"/>
  <c r="A1078" i="1"/>
  <c r="F1078" i="1"/>
  <c r="G1078" i="1"/>
  <c r="H1078" i="1"/>
  <c r="L1078" i="1"/>
  <c r="M1078" i="1"/>
  <c r="N1078" i="1"/>
  <c r="O1078" i="1"/>
  <c r="P1078" i="1"/>
  <c r="Q1078" i="1"/>
  <c r="A1079" i="1"/>
  <c r="D1079" i="1"/>
  <c r="E1079" i="1"/>
  <c r="L1079" i="1"/>
  <c r="M1079" i="1"/>
  <c r="N1079" i="1"/>
  <c r="O1079" i="1"/>
  <c r="P1079" i="1"/>
  <c r="Q1079" i="1"/>
  <c r="A1080" i="1"/>
  <c r="L1080" i="1"/>
  <c r="M1080" i="1"/>
  <c r="N1080" i="1"/>
  <c r="O1080" i="1"/>
  <c r="P1080" i="1"/>
  <c r="Q1080" i="1"/>
  <c r="A1081" i="1"/>
  <c r="E1081" i="1"/>
  <c r="F1081" i="1"/>
  <c r="G1081" i="1"/>
  <c r="L1081" i="1"/>
  <c r="M1081" i="1"/>
  <c r="N1081" i="1"/>
  <c r="O1081" i="1"/>
  <c r="P1081" i="1"/>
  <c r="Q1081" i="1"/>
  <c r="A1082" i="1"/>
  <c r="F1082" i="1"/>
  <c r="G1082" i="1"/>
  <c r="L1082" i="1"/>
  <c r="M1082" i="1"/>
  <c r="N1082" i="1"/>
  <c r="O1082" i="1"/>
  <c r="P1082" i="1"/>
  <c r="Q1082" i="1"/>
  <c r="A1083" i="1"/>
  <c r="L1083" i="1"/>
  <c r="M1083" i="1"/>
  <c r="N1083" i="1"/>
  <c r="O1083" i="1"/>
  <c r="P1083" i="1"/>
  <c r="Q1083" i="1"/>
  <c r="A1084" i="1"/>
  <c r="G1084" i="1"/>
  <c r="H1084" i="1"/>
  <c r="L1084" i="1"/>
  <c r="M1084" i="1"/>
  <c r="N1084" i="1"/>
  <c r="O1084" i="1"/>
  <c r="P1084" i="1"/>
  <c r="Q1084" i="1"/>
  <c r="A1085" i="1"/>
  <c r="D1085" i="1"/>
  <c r="E1085" i="1"/>
  <c r="F1085" i="1"/>
  <c r="L1085" i="1"/>
  <c r="M1085" i="1"/>
  <c r="N1085" i="1"/>
  <c r="O1085" i="1"/>
  <c r="P1085" i="1"/>
  <c r="Q1085" i="1"/>
  <c r="A1086" i="1"/>
  <c r="L1086" i="1"/>
  <c r="M1086" i="1"/>
  <c r="N1086" i="1"/>
  <c r="O1086" i="1"/>
  <c r="P1086" i="1"/>
  <c r="Q1086" i="1"/>
  <c r="A1087" i="1"/>
  <c r="F1087" i="1"/>
  <c r="G1087" i="1"/>
  <c r="L1087" i="1"/>
  <c r="M1087" i="1"/>
  <c r="N1087" i="1"/>
  <c r="O1087" i="1"/>
  <c r="P1087" i="1"/>
  <c r="Q1087" i="1"/>
  <c r="A1088" i="1"/>
  <c r="F1088" i="1"/>
  <c r="G1088" i="1"/>
  <c r="H1088" i="1"/>
  <c r="L1088" i="1"/>
  <c r="M1088" i="1"/>
  <c r="N1088" i="1"/>
  <c r="O1088" i="1"/>
  <c r="P1088" i="1"/>
  <c r="Q1088" i="1"/>
  <c r="A1089" i="1"/>
  <c r="D1089" i="1"/>
  <c r="L1089" i="1"/>
  <c r="M1089" i="1"/>
  <c r="N1089" i="1"/>
  <c r="O1089" i="1"/>
  <c r="P1089" i="1"/>
  <c r="Q1089" i="1"/>
  <c r="A1090" i="1"/>
  <c r="H1090" i="1"/>
  <c r="L1090" i="1"/>
  <c r="M1090" i="1"/>
  <c r="N1090" i="1"/>
  <c r="O1090" i="1"/>
  <c r="P1090" i="1"/>
  <c r="Q1090" i="1"/>
  <c r="A1091" i="1"/>
  <c r="D1091" i="1"/>
  <c r="E1091" i="1"/>
  <c r="F1091" i="1"/>
  <c r="G1091" i="1"/>
  <c r="L1091" i="1"/>
  <c r="M1091" i="1"/>
  <c r="N1091" i="1"/>
  <c r="O1091" i="1"/>
  <c r="P1091" i="1"/>
  <c r="Q1091" i="1"/>
  <c r="A1092" i="1"/>
  <c r="F1092" i="1"/>
  <c r="L1092" i="1"/>
  <c r="M1092" i="1"/>
  <c r="N1092" i="1"/>
  <c r="O1092" i="1"/>
  <c r="P1092" i="1"/>
  <c r="Q1092" i="1"/>
  <c r="A1093" i="1"/>
  <c r="G1093" i="1"/>
  <c r="L1093" i="1"/>
  <c r="M1093" i="1"/>
  <c r="N1093" i="1"/>
  <c r="O1093" i="1"/>
  <c r="P1093" i="1"/>
  <c r="Q1093" i="1"/>
  <c r="A1094" i="1"/>
  <c r="F1094" i="1"/>
  <c r="G1094" i="1"/>
  <c r="H1094" i="1"/>
  <c r="L1094" i="1"/>
  <c r="M1094" i="1"/>
  <c r="N1094" i="1"/>
  <c r="O1094" i="1"/>
  <c r="P1094" i="1"/>
  <c r="Q1094" i="1"/>
  <c r="A1095" i="1"/>
  <c r="D1095" i="1"/>
  <c r="E1095" i="1"/>
  <c r="L1095" i="1"/>
  <c r="M1095" i="1"/>
  <c r="N1095" i="1"/>
  <c r="O1095" i="1"/>
  <c r="P1095" i="1"/>
  <c r="Q1095" i="1"/>
  <c r="A1096" i="1"/>
  <c r="L1096" i="1"/>
  <c r="M1096" i="1"/>
  <c r="N1096" i="1"/>
  <c r="O1096" i="1"/>
  <c r="P1096" i="1"/>
  <c r="Q1096" i="1"/>
  <c r="A1097" i="1"/>
  <c r="E1097" i="1"/>
  <c r="F1097" i="1"/>
  <c r="G1097" i="1"/>
  <c r="M1097" i="1"/>
  <c r="N1097" i="1"/>
  <c r="O1097" i="1"/>
  <c r="P1097" i="1"/>
  <c r="Q1097" i="1"/>
  <c r="A1098" i="1"/>
  <c r="C1098" i="1" s="1"/>
  <c r="D1098" i="1"/>
  <c r="G1098" i="1"/>
  <c r="H1098" i="1"/>
  <c r="M1098" i="1"/>
  <c r="N1098" i="1"/>
  <c r="O1098" i="1"/>
  <c r="P1098" i="1"/>
  <c r="Q1098" i="1"/>
  <c r="A1099" i="1"/>
  <c r="D1099" i="1"/>
  <c r="E1099" i="1"/>
  <c r="M1099" i="1"/>
  <c r="N1099" i="1"/>
  <c r="O1099" i="1"/>
  <c r="P1099" i="1"/>
  <c r="Q1099" i="1"/>
  <c r="A1100" i="1"/>
  <c r="M1100" i="1"/>
  <c r="N1100" i="1"/>
  <c r="O1100" i="1"/>
  <c r="P1100" i="1"/>
  <c r="Q1100" i="1"/>
  <c r="A1101" i="1"/>
  <c r="H1101" i="1"/>
  <c r="M1101" i="1"/>
  <c r="N1101" i="1"/>
  <c r="O1101" i="1"/>
  <c r="P1101" i="1"/>
  <c r="Q1101" i="1"/>
  <c r="A1102" i="1"/>
  <c r="E1102" i="1"/>
  <c r="F1102" i="1"/>
  <c r="G1102" i="1"/>
  <c r="H1102" i="1"/>
  <c r="M1102" i="1"/>
  <c r="N1102" i="1"/>
  <c r="O1102" i="1"/>
  <c r="P1102" i="1"/>
  <c r="Q1102" i="1"/>
  <c r="A1103" i="1"/>
  <c r="C1103" i="1" s="1"/>
  <c r="D1103" i="1"/>
  <c r="E1103" i="1"/>
  <c r="M1103" i="1"/>
  <c r="N1103" i="1"/>
  <c r="O1103" i="1"/>
  <c r="P1103" i="1"/>
  <c r="Q1103" i="1"/>
  <c r="A1104" i="1"/>
  <c r="E1104" i="1"/>
  <c r="M1104" i="1"/>
  <c r="N1104" i="1"/>
  <c r="O1104" i="1"/>
  <c r="P1104" i="1"/>
  <c r="Q1104" i="1"/>
  <c r="A1105" i="1"/>
  <c r="G1105" i="1"/>
  <c r="M1105" i="1"/>
  <c r="N1105" i="1"/>
  <c r="O1105" i="1"/>
  <c r="P1105" i="1"/>
  <c r="Q1105" i="1"/>
  <c r="A1106" i="1"/>
  <c r="G1106" i="1"/>
  <c r="H1106" i="1"/>
  <c r="M1106" i="1"/>
  <c r="N1106" i="1"/>
  <c r="O1106" i="1"/>
  <c r="P1106" i="1"/>
  <c r="Q1106" i="1"/>
  <c r="A1107" i="1"/>
  <c r="D1107" i="1"/>
  <c r="E1107" i="1"/>
  <c r="F1107" i="1"/>
  <c r="G1107" i="1"/>
  <c r="M1107" i="1"/>
  <c r="N1107" i="1"/>
  <c r="O1107" i="1"/>
  <c r="P1107" i="1"/>
  <c r="Q1107" i="1"/>
  <c r="A1108" i="1"/>
  <c r="C1108" i="1" s="1"/>
  <c r="D1108" i="1"/>
  <c r="M1108" i="1"/>
  <c r="N1108" i="1"/>
  <c r="O1108" i="1"/>
  <c r="P1108" i="1"/>
  <c r="Q1108" i="1"/>
  <c r="A1109" i="1"/>
  <c r="C1109" i="1" s="1"/>
  <c r="M1109" i="1"/>
  <c r="N1109" i="1"/>
  <c r="O1109" i="1"/>
  <c r="P1109" i="1"/>
  <c r="Q1109" i="1"/>
  <c r="A1110" i="1"/>
  <c r="H1110" i="1"/>
  <c r="M1110" i="1"/>
  <c r="N1110" i="1"/>
  <c r="O1110" i="1"/>
  <c r="P1110" i="1"/>
  <c r="Q1110" i="1"/>
  <c r="A1111" i="1"/>
  <c r="E1111" i="1"/>
  <c r="H1111" i="1"/>
  <c r="M1111" i="1"/>
  <c r="N1111" i="1"/>
  <c r="O1111" i="1"/>
  <c r="P1111" i="1"/>
  <c r="Q1111" i="1"/>
  <c r="A1112" i="1"/>
  <c r="E1112" i="1"/>
  <c r="F1112" i="1"/>
  <c r="G1112" i="1"/>
  <c r="M1112" i="1"/>
  <c r="N1112" i="1"/>
  <c r="O1112" i="1"/>
  <c r="P1112" i="1"/>
  <c r="Q1112" i="1"/>
  <c r="A1113" i="1"/>
  <c r="C1113" i="1" s="1"/>
  <c r="D1113" i="1"/>
  <c r="M1113" i="1"/>
  <c r="N1113" i="1"/>
  <c r="O1113" i="1"/>
  <c r="P1113" i="1"/>
  <c r="Q1113" i="1"/>
  <c r="A1114" i="1"/>
  <c r="M1114" i="1"/>
  <c r="N1114" i="1"/>
  <c r="O1114" i="1"/>
  <c r="P1114" i="1"/>
  <c r="Q1114" i="1"/>
  <c r="A1115" i="1"/>
  <c r="G1115" i="1"/>
  <c r="H1115" i="1"/>
  <c r="M1115" i="1"/>
  <c r="N1115" i="1"/>
  <c r="O1115" i="1"/>
  <c r="P1115" i="1"/>
  <c r="Q1115" i="1"/>
  <c r="A1116" i="1"/>
  <c r="D1116" i="1"/>
  <c r="E1116" i="1"/>
  <c r="F1116" i="1"/>
  <c r="M1116" i="1"/>
  <c r="N1116" i="1"/>
  <c r="O1116" i="1"/>
  <c r="P1116" i="1"/>
  <c r="Q1116" i="1"/>
  <c r="A1117" i="1"/>
  <c r="C1117" i="1" s="1"/>
  <c r="F1117" i="1"/>
  <c r="G1117" i="1"/>
  <c r="M1117" i="1"/>
  <c r="N1117" i="1"/>
  <c r="O1117" i="1"/>
  <c r="P1117" i="1"/>
  <c r="Q1117" i="1"/>
  <c r="A1118" i="1"/>
  <c r="C1118" i="1" s="1"/>
  <c r="D1118" i="1"/>
  <c r="M1118" i="1"/>
  <c r="N1118" i="1"/>
  <c r="O1118" i="1"/>
  <c r="P1118" i="1"/>
  <c r="Q1118" i="1"/>
  <c r="A1119" i="1"/>
  <c r="M1119" i="1"/>
  <c r="N1119" i="1"/>
  <c r="O1119" i="1"/>
  <c r="P1119" i="1"/>
  <c r="Q1119" i="1"/>
  <c r="A1120" i="1"/>
  <c r="G1120" i="1"/>
  <c r="H1120" i="1"/>
  <c r="M1120" i="1"/>
  <c r="N1120" i="1"/>
  <c r="O1120" i="1"/>
  <c r="P1120" i="1"/>
  <c r="Q1120" i="1"/>
  <c r="A1121" i="1"/>
  <c r="D1121" i="1"/>
  <c r="E1121" i="1"/>
  <c r="F1121" i="1"/>
  <c r="M1121" i="1"/>
  <c r="N1121" i="1"/>
  <c r="O1121" i="1"/>
  <c r="P1121" i="1"/>
  <c r="Q1121" i="1"/>
  <c r="A1122" i="1"/>
  <c r="C1122" i="1" s="1"/>
  <c r="D1122" i="1"/>
  <c r="M1122" i="1"/>
  <c r="N1122" i="1"/>
  <c r="O1122" i="1"/>
  <c r="P1122" i="1"/>
  <c r="Q1122" i="1"/>
  <c r="A1123" i="1"/>
  <c r="M1123" i="1"/>
  <c r="N1123" i="1"/>
  <c r="O1123" i="1"/>
  <c r="P1123" i="1"/>
  <c r="Q1123" i="1"/>
  <c r="A1124" i="1"/>
  <c r="F1124" i="1"/>
  <c r="M1124" i="1"/>
  <c r="N1124" i="1"/>
  <c r="O1124" i="1"/>
  <c r="P1124" i="1"/>
  <c r="Q1124" i="1"/>
  <c r="A1125" i="1"/>
  <c r="H1125" i="1"/>
  <c r="M1125" i="1"/>
  <c r="N1125" i="1"/>
  <c r="O1125" i="1"/>
  <c r="P1125" i="1"/>
  <c r="Q1125" i="1"/>
  <c r="A1126" i="1"/>
  <c r="D1126" i="1"/>
  <c r="E1126" i="1"/>
  <c r="M1126" i="1"/>
  <c r="N1126" i="1"/>
  <c r="O1126" i="1"/>
  <c r="P1126" i="1"/>
  <c r="Q1126" i="1"/>
  <c r="A1127" i="1"/>
  <c r="C1127" i="1" s="1"/>
  <c r="M1127" i="1"/>
  <c r="N1127" i="1"/>
  <c r="O1127" i="1"/>
  <c r="P1127" i="1"/>
  <c r="Q1127" i="1"/>
  <c r="A1128" i="1"/>
  <c r="J1128" i="1"/>
  <c r="M1128" i="1"/>
  <c r="N1128" i="1"/>
  <c r="O1128" i="1"/>
  <c r="P1128" i="1"/>
  <c r="Q1128" i="1"/>
  <c r="A1129" i="1"/>
  <c r="D1129" i="1"/>
  <c r="M1129" i="1"/>
  <c r="N1129" i="1"/>
  <c r="O1129" i="1"/>
  <c r="P1129" i="1"/>
  <c r="Q1129" i="1"/>
  <c r="A1130" i="1"/>
  <c r="M1130" i="1"/>
  <c r="N1130" i="1"/>
  <c r="O1130" i="1"/>
  <c r="P1130" i="1"/>
  <c r="Q1130" i="1"/>
  <c r="A1131" i="1"/>
  <c r="M1131" i="1"/>
  <c r="N1131" i="1"/>
  <c r="O1131" i="1"/>
  <c r="P1131" i="1"/>
  <c r="Q1131" i="1"/>
  <c r="A1132" i="1"/>
  <c r="M1132" i="1"/>
  <c r="N1132" i="1"/>
  <c r="O1132" i="1"/>
  <c r="P1132" i="1"/>
  <c r="Q1132" i="1"/>
  <c r="A1133" i="1"/>
  <c r="M1133" i="1"/>
  <c r="N1133" i="1"/>
  <c r="O1133" i="1"/>
  <c r="P1133" i="1"/>
  <c r="Q1133" i="1"/>
  <c r="A1134" i="1"/>
  <c r="M1134" i="1"/>
  <c r="N1134" i="1"/>
  <c r="O1134" i="1"/>
  <c r="P1134" i="1"/>
  <c r="Q1134" i="1"/>
  <c r="A1135" i="1"/>
  <c r="M1135" i="1"/>
  <c r="N1135" i="1"/>
  <c r="O1135" i="1"/>
  <c r="P1135" i="1"/>
  <c r="Q1135" i="1"/>
  <c r="G1134" i="1" l="1"/>
  <c r="D1132" i="1"/>
  <c r="G1132" i="1"/>
  <c r="H1135" i="1"/>
  <c r="E1134" i="1"/>
  <c r="E1132" i="1"/>
  <c r="B1131" i="1"/>
  <c r="E1131" i="1"/>
  <c r="J1130" i="1"/>
  <c r="E1128" i="1"/>
  <c r="G1125" i="1"/>
  <c r="F1119" i="1"/>
  <c r="F1111" i="1"/>
  <c r="F1103" i="1"/>
  <c r="F1134" i="1"/>
  <c r="C1134" i="1"/>
  <c r="G1135" i="1"/>
  <c r="E1135" i="1"/>
  <c r="B1133" i="1"/>
  <c r="H1132" i="1"/>
  <c r="G1130" i="1"/>
  <c r="E1129" i="1"/>
  <c r="D1128" i="1"/>
  <c r="J1127" i="1"/>
  <c r="E1127" i="1"/>
  <c r="F1125" i="1"/>
  <c r="E1124" i="1"/>
  <c r="H1123" i="1"/>
  <c r="E1123" i="1"/>
  <c r="F1120" i="1"/>
  <c r="I1120" i="1"/>
  <c r="H1119" i="1"/>
  <c r="E1119" i="1"/>
  <c r="F1115" i="1"/>
  <c r="E1115" i="1"/>
  <c r="E1113" i="1"/>
  <c r="D1111" i="1"/>
  <c r="G1110" i="1"/>
  <c r="E1109" i="1"/>
  <c r="E1101" i="1"/>
  <c r="F1132" i="1"/>
  <c r="F1130" i="1"/>
  <c r="G1127" i="1"/>
  <c r="H1127" i="1"/>
  <c r="F1126" i="1"/>
  <c r="G1126" i="1"/>
  <c r="D1124" i="1"/>
  <c r="F1123" i="1"/>
  <c r="G1123" i="1"/>
  <c r="D1123" i="1"/>
  <c r="G1122" i="1"/>
  <c r="H1122" i="1"/>
  <c r="G1121" i="1"/>
  <c r="E1120" i="1"/>
  <c r="D1119" i="1"/>
  <c r="E1118" i="1"/>
  <c r="F1118" i="1"/>
  <c r="G1118" i="1"/>
  <c r="H1118" i="1"/>
  <c r="H1117" i="1"/>
  <c r="D1115" i="1"/>
  <c r="D1114" i="1"/>
  <c r="G1114" i="1"/>
  <c r="H1114" i="1"/>
  <c r="F1113" i="1"/>
  <c r="G1113" i="1"/>
  <c r="H1112" i="1"/>
  <c r="D1110" i="1"/>
  <c r="E1110" i="1"/>
  <c r="F1110" i="1"/>
  <c r="F1109" i="1"/>
  <c r="G1109" i="1"/>
  <c r="H1109" i="1"/>
  <c r="E1108" i="1"/>
  <c r="F1108" i="1"/>
  <c r="H1107" i="1"/>
  <c r="D1106" i="1"/>
  <c r="E1105" i="1"/>
  <c r="F1105" i="1"/>
  <c r="H1105" i="1"/>
  <c r="D1105" i="1"/>
  <c r="D1104" i="1"/>
  <c r="F1104" i="1"/>
  <c r="G1104" i="1"/>
  <c r="H1104" i="1"/>
  <c r="G1103" i="1"/>
  <c r="H1103" i="1"/>
  <c r="D1102" i="1"/>
  <c r="F1101" i="1"/>
  <c r="G1101" i="1"/>
  <c r="D1100" i="1"/>
  <c r="E1100" i="1"/>
  <c r="F1100" i="1"/>
  <c r="F1099" i="1"/>
  <c r="G1099" i="1"/>
  <c r="H1099" i="1"/>
  <c r="H1097" i="1"/>
  <c r="D1097" i="1"/>
  <c r="C1096" i="1"/>
  <c r="D1096" i="1"/>
  <c r="F1096" i="1"/>
  <c r="G1096" i="1"/>
  <c r="H1096" i="1"/>
  <c r="F1095" i="1"/>
  <c r="G1095" i="1"/>
  <c r="H1095" i="1"/>
  <c r="C1094" i="1"/>
  <c r="D1094" i="1"/>
  <c r="E1093" i="1"/>
  <c r="F1093" i="1"/>
  <c r="H1093" i="1"/>
  <c r="D1093" i="1"/>
  <c r="C1092" i="1"/>
  <c r="D1092" i="1"/>
  <c r="G1092" i="1"/>
  <c r="H1092" i="1"/>
  <c r="H1091" i="1"/>
  <c r="C1090" i="1"/>
  <c r="D1090" i="1"/>
  <c r="F1090" i="1"/>
  <c r="G1090" i="1"/>
  <c r="E1089" i="1"/>
  <c r="F1089" i="1"/>
  <c r="G1089" i="1"/>
  <c r="H1089" i="1"/>
  <c r="C1088" i="1"/>
  <c r="D1088" i="1"/>
  <c r="E1087" i="1"/>
  <c r="H1087" i="1"/>
  <c r="D1087" i="1"/>
  <c r="C1086" i="1"/>
  <c r="D1086" i="1"/>
  <c r="F1086" i="1"/>
  <c r="G1086" i="1"/>
  <c r="H1086" i="1"/>
  <c r="G1085" i="1"/>
  <c r="H1085" i="1"/>
  <c r="C1084" i="1"/>
  <c r="D1084" i="1"/>
  <c r="F1084" i="1"/>
  <c r="E1083" i="1"/>
  <c r="F1083" i="1"/>
  <c r="G1083" i="1"/>
  <c r="H1083" i="1"/>
  <c r="D1083" i="1"/>
  <c r="C1082" i="1"/>
  <c r="D1082" i="1"/>
  <c r="H1082" i="1"/>
  <c r="H1081" i="1"/>
  <c r="D1081" i="1"/>
  <c r="C1080" i="1"/>
  <c r="D1080" i="1"/>
  <c r="F1080" i="1"/>
  <c r="G1080" i="1"/>
  <c r="H1080" i="1"/>
  <c r="F1079" i="1"/>
  <c r="G1079" i="1"/>
  <c r="H1079" i="1"/>
  <c r="C1078" i="1"/>
  <c r="D1078" i="1"/>
  <c r="E1077" i="1"/>
  <c r="F1077" i="1"/>
  <c r="H1077" i="1"/>
  <c r="D1077" i="1"/>
  <c r="C1076" i="1"/>
  <c r="D1076" i="1"/>
  <c r="G1076" i="1"/>
  <c r="H1076" i="1"/>
  <c r="H1075" i="1"/>
  <c r="J1074" i="1"/>
  <c r="B1074" i="1"/>
  <c r="C1074" i="1"/>
  <c r="D1074" i="1"/>
  <c r="F1074" i="1"/>
  <c r="G1074" i="1"/>
  <c r="E1073" i="1"/>
  <c r="F1073" i="1"/>
  <c r="G1073" i="1"/>
  <c r="H1073" i="1"/>
  <c r="J1072" i="1"/>
  <c r="B1072" i="1"/>
  <c r="C1072" i="1"/>
  <c r="D1072" i="1"/>
  <c r="F1071" i="1"/>
  <c r="G1071" i="1"/>
  <c r="H1071" i="1"/>
  <c r="B1070" i="1"/>
  <c r="C1070" i="1"/>
  <c r="D1070" i="1"/>
  <c r="E1070" i="1"/>
  <c r="D1134" i="1"/>
  <c r="J1133" i="1"/>
  <c r="J1131" i="1"/>
  <c r="E1074" i="3"/>
  <c r="E1072" i="3"/>
  <c r="E1065" i="3"/>
  <c r="E1057" i="3"/>
  <c r="E1069" i="1"/>
  <c r="I1060" i="1"/>
  <c r="I1058" i="1"/>
  <c r="E1057" i="1"/>
  <c r="C1052" i="1"/>
  <c r="F1050" i="1"/>
  <c r="D1127" i="4"/>
  <c r="H1089" i="4"/>
  <c r="F1069" i="1"/>
  <c r="G1069" i="1"/>
  <c r="H1069" i="1"/>
  <c r="J1069" i="1"/>
  <c r="C1069" i="1"/>
  <c r="D1069" i="1"/>
  <c r="J1068" i="1"/>
  <c r="B1068" i="1"/>
  <c r="G1068" i="1"/>
  <c r="F1067" i="1"/>
  <c r="H1067" i="1"/>
  <c r="B1067" i="1"/>
  <c r="C1067" i="1"/>
  <c r="I1066" i="1"/>
  <c r="J1066" i="1"/>
  <c r="B1066" i="1"/>
  <c r="C1066" i="1"/>
  <c r="D1066" i="1"/>
  <c r="G1066" i="1"/>
  <c r="H1066" i="1"/>
  <c r="G1065" i="1"/>
  <c r="H1065" i="1"/>
  <c r="I1065" i="1"/>
  <c r="D1065" i="1"/>
  <c r="J1064" i="1"/>
  <c r="B1064" i="1"/>
  <c r="C1064" i="1"/>
  <c r="D1064" i="1"/>
  <c r="E1063" i="1"/>
  <c r="F1063" i="1"/>
  <c r="H1063" i="1"/>
  <c r="J1062" i="1"/>
  <c r="B1062" i="1"/>
  <c r="C1062" i="1"/>
  <c r="D1062" i="1"/>
  <c r="E1062" i="1"/>
  <c r="F1061" i="1"/>
  <c r="G1061" i="1"/>
  <c r="H1061" i="1"/>
  <c r="I1061" i="1"/>
  <c r="J1061" i="1"/>
  <c r="J1060" i="1"/>
  <c r="F1059" i="1"/>
  <c r="G1059" i="1"/>
  <c r="H1059" i="1"/>
  <c r="J1058" i="1"/>
  <c r="B1058" i="1"/>
  <c r="C1058" i="1"/>
  <c r="D1058" i="1"/>
  <c r="F1058" i="1"/>
  <c r="G1058" i="1"/>
  <c r="H1058" i="1"/>
  <c r="H1057" i="1"/>
  <c r="I1057" i="1"/>
  <c r="J1056" i="1"/>
  <c r="B1056" i="1"/>
  <c r="C1056" i="1"/>
  <c r="H1055" i="1"/>
  <c r="C1055" i="1"/>
  <c r="D1055" i="1"/>
  <c r="J1054" i="1"/>
  <c r="B1054" i="1"/>
  <c r="C1054" i="1"/>
  <c r="D1054" i="1"/>
  <c r="E1054" i="1"/>
  <c r="F1054" i="1"/>
  <c r="E1053" i="1"/>
  <c r="F1053" i="1"/>
  <c r="G1053" i="1"/>
  <c r="H1053" i="1"/>
  <c r="I1053" i="1"/>
  <c r="B1052" i="1"/>
  <c r="F1051" i="1"/>
  <c r="B1051" i="1"/>
  <c r="K1050" i="1"/>
  <c r="D1050" i="1"/>
  <c r="J1050" i="1"/>
  <c r="G1127" i="4"/>
  <c r="E1109" i="4"/>
  <c r="K1102" i="4"/>
  <c r="I1089" i="4"/>
  <c r="C1082" i="4"/>
  <c r="G1066" i="4"/>
  <c r="G1064" i="4"/>
  <c r="I1056" i="4"/>
  <c r="B1094" i="3"/>
  <c r="B1092" i="3"/>
  <c r="B1081" i="3"/>
  <c r="B1075" i="3"/>
  <c r="B1073" i="3"/>
  <c r="B1071" i="3"/>
  <c r="B1069" i="3"/>
  <c r="B1057" i="3"/>
  <c r="B1055" i="3"/>
  <c r="B1053" i="3"/>
  <c r="H1129" i="4"/>
  <c r="H1128" i="4"/>
  <c r="B1125" i="4"/>
  <c r="B1124" i="4"/>
  <c r="F1122" i="4"/>
  <c r="F1121" i="4"/>
  <c r="D1120" i="4"/>
  <c r="H1118" i="4"/>
  <c r="B1117" i="4"/>
  <c r="D1116" i="4"/>
  <c r="H1115" i="4"/>
  <c r="F1114" i="4"/>
  <c r="D1113" i="4"/>
  <c r="H1112" i="4"/>
  <c r="F1110" i="4"/>
  <c r="B1108" i="4"/>
  <c r="J1107" i="4"/>
  <c r="H1106" i="4"/>
  <c r="H1105" i="4"/>
  <c r="B1104" i="4"/>
  <c r="H1103" i="4"/>
  <c r="F1102" i="4"/>
  <c r="F1099" i="4"/>
  <c r="H1097" i="4"/>
  <c r="H1096" i="4"/>
  <c r="J1095" i="4"/>
  <c r="H1095" i="4"/>
  <c r="F1094" i="4"/>
  <c r="B1092" i="4"/>
  <c r="F1091" i="4"/>
  <c r="F1090" i="4"/>
  <c r="H1088" i="4"/>
  <c r="F1087" i="4"/>
  <c r="J1086" i="4"/>
  <c r="H1086" i="4"/>
  <c r="B1084" i="4"/>
  <c r="F1083" i="4"/>
  <c r="B1082" i="4"/>
  <c r="D1081" i="4"/>
  <c r="H1080" i="4"/>
  <c r="F1079" i="4"/>
  <c r="H1078" i="4"/>
  <c r="F1077" i="4"/>
  <c r="J1076" i="4"/>
  <c r="F1075" i="4"/>
  <c r="F1074" i="4"/>
  <c r="J1072" i="4"/>
  <c r="B1071" i="4"/>
  <c r="D1070" i="4"/>
  <c r="H1069" i="4"/>
  <c r="H1068" i="4"/>
  <c r="H1067" i="4"/>
  <c r="D1066" i="4"/>
  <c r="F1065" i="4"/>
  <c r="J1064" i="4"/>
  <c r="J1063" i="4"/>
  <c r="H1063" i="4"/>
  <c r="J1062" i="4"/>
  <c r="H1062" i="4"/>
  <c r="B1060" i="4"/>
  <c r="J1059" i="4"/>
  <c r="H1059" i="4"/>
  <c r="D1058" i="4"/>
  <c r="H1057" i="4"/>
  <c r="B1056" i="4"/>
  <c r="B1055" i="4"/>
  <c r="D1054" i="4"/>
  <c r="F1053" i="4"/>
  <c r="F1052" i="4"/>
  <c r="J1128" i="4"/>
  <c r="B1127" i="4"/>
  <c r="D1126" i="4"/>
  <c r="H1124" i="4"/>
  <c r="F1123" i="4"/>
  <c r="D1121" i="4"/>
  <c r="F1120" i="4"/>
  <c r="F1119" i="4"/>
  <c r="D1118" i="4"/>
  <c r="H1117" i="4"/>
  <c r="F1116" i="4"/>
  <c r="F1115" i="4"/>
  <c r="B1114" i="4"/>
  <c r="J1113" i="4"/>
  <c r="H1113" i="4"/>
  <c r="F1112" i="4"/>
  <c r="J1110" i="4"/>
  <c r="H1109" i="4"/>
  <c r="J1108" i="4"/>
  <c r="F1107" i="4"/>
  <c r="F1106" i="4"/>
  <c r="D1105" i="4"/>
  <c r="J1104" i="4"/>
  <c r="B1103" i="4"/>
  <c r="B1102" i="4"/>
  <c r="H1101" i="4"/>
  <c r="H1099" i="4"/>
  <c r="F1098" i="4"/>
  <c r="B1096" i="4"/>
  <c r="D1095" i="4"/>
  <c r="H1094" i="4"/>
  <c r="F1093" i="4"/>
  <c r="H1091" i="4"/>
  <c r="D1090" i="4"/>
  <c r="F1089" i="4"/>
  <c r="F1088" i="4"/>
  <c r="F1086" i="4"/>
  <c r="J1084" i="4"/>
  <c r="B1083" i="4"/>
  <c r="F1082" i="4"/>
  <c r="F1081" i="4"/>
  <c r="D1079" i="4"/>
  <c r="F1078" i="4"/>
  <c r="B1076" i="4"/>
  <c r="H1075" i="4"/>
  <c r="B1074" i="4"/>
  <c r="H1073" i="4"/>
  <c r="F1072" i="4"/>
  <c r="J1071" i="4"/>
  <c r="F1071" i="4"/>
  <c r="B1070" i="4"/>
  <c r="D1069" i="4"/>
  <c r="B1068" i="4"/>
  <c r="D1067" i="4"/>
  <c r="J1066" i="4"/>
  <c r="H1066" i="4"/>
  <c r="B1064" i="4"/>
  <c r="F1063" i="4"/>
  <c r="B1062" i="4"/>
  <c r="H1061" i="4"/>
  <c r="J1060" i="4"/>
  <c r="F1059" i="4"/>
  <c r="B1058" i="4"/>
  <c r="F1056" i="4"/>
  <c r="J1055" i="4"/>
  <c r="H1055" i="4"/>
  <c r="J1054" i="4"/>
  <c r="F1054" i="4"/>
  <c r="B1052" i="4"/>
  <c r="F1051" i="4"/>
  <c r="D1050" i="4"/>
  <c r="H1049" i="4"/>
  <c r="B1048" i="4"/>
  <c r="H1048" i="4"/>
  <c r="B1047" i="4"/>
  <c r="F1047" i="4"/>
  <c r="B1046" i="4"/>
  <c r="F1046" i="4"/>
  <c r="F1085" i="4"/>
  <c r="F1045" i="4"/>
  <c r="J1130" i="4"/>
  <c r="H1126" i="4"/>
  <c r="H1125" i="4"/>
  <c r="F1124" i="4"/>
  <c r="H1123" i="4"/>
  <c r="H1122" i="4"/>
  <c r="H1120" i="4"/>
  <c r="B1119" i="4"/>
  <c r="F1118" i="4"/>
  <c r="D1117" i="4"/>
  <c r="J1115" i="4"/>
  <c r="J1114" i="4"/>
  <c r="H1114" i="4"/>
  <c r="B1113" i="4"/>
  <c r="B1112" i="4"/>
  <c r="F1111" i="4"/>
  <c r="D1110" i="4"/>
  <c r="F1109" i="4"/>
  <c r="F1108" i="4"/>
  <c r="H1107" i="4"/>
  <c r="J1106" i="4"/>
  <c r="F1104" i="4"/>
  <c r="D1103" i="4"/>
  <c r="H1102" i="4"/>
  <c r="D1101" i="4"/>
  <c r="H1100" i="4"/>
  <c r="J1099" i="4"/>
  <c r="B1098" i="4"/>
  <c r="J1096" i="4"/>
  <c r="F1095" i="4"/>
  <c r="J1094" i="4"/>
  <c r="H1093" i="4"/>
  <c r="F1092" i="4"/>
  <c r="B1091" i="4"/>
  <c r="H1090" i="4"/>
  <c r="J1088" i="4"/>
  <c r="J1087" i="4"/>
  <c r="H1087" i="4"/>
  <c r="B1086" i="4"/>
  <c r="F1084" i="4"/>
  <c r="J1083" i="4"/>
  <c r="D1083" i="4"/>
  <c r="J1082" i="4"/>
  <c r="H1082" i="4"/>
  <c r="H1081" i="4"/>
  <c r="F1080" i="4"/>
  <c r="D1078" i="4"/>
  <c r="F1076" i="4"/>
  <c r="J1075" i="4"/>
  <c r="D1074" i="4"/>
  <c r="F1073" i="4"/>
  <c r="B1072" i="4"/>
  <c r="D1071" i="4"/>
  <c r="J1070" i="4"/>
  <c r="F1070" i="4"/>
  <c r="F1068" i="4"/>
  <c r="F1067" i="4"/>
  <c r="F1066" i="4"/>
  <c r="H1064" i="4"/>
  <c r="D1063" i="4"/>
  <c r="D1062" i="4"/>
  <c r="D1061" i="4"/>
  <c r="F1060" i="4"/>
  <c r="D1059" i="4"/>
  <c r="F1058" i="4"/>
  <c r="D1057" i="4"/>
  <c r="J1056" i="4"/>
  <c r="H1056" i="4"/>
  <c r="D1055" i="4"/>
  <c r="B1054" i="4"/>
  <c r="H1053" i="4"/>
  <c r="H1052" i="4"/>
  <c r="J1051" i="4"/>
  <c r="D1051" i="4"/>
  <c r="B1050" i="4"/>
  <c r="H1050" i="4"/>
  <c r="D1049" i="4"/>
  <c r="F1048" i="4"/>
  <c r="J1047" i="4"/>
  <c r="D1047" i="4"/>
  <c r="H1047" i="4"/>
  <c r="J1046" i="4"/>
  <c r="D1046" i="4"/>
  <c r="H1046" i="4"/>
  <c r="H1085" i="4"/>
  <c r="H1045" i="4"/>
  <c r="D1045" i="4"/>
  <c r="D1085" i="4"/>
  <c r="F1135" i="1"/>
  <c r="J1134" i="1"/>
  <c r="D1133" i="1"/>
  <c r="F1133" i="1"/>
  <c r="J1132" i="1"/>
  <c r="B1132" i="1"/>
  <c r="F1131" i="1"/>
  <c r="H1130" i="1"/>
  <c r="B1130" i="1"/>
  <c r="F1129" i="1"/>
  <c r="B1128" i="1"/>
  <c r="F1127" i="1"/>
  <c r="J1126" i="1"/>
  <c r="B1126" i="1"/>
  <c r="H1130" i="4"/>
  <c r="F1129" i="4"/>
  <c r="H1127" i="4"/>
  <c r="J1125" i="4"/>
  <c r="J1124" i="4"/>
  <c r="J1123" i="4"/>
  <c r="D1122" i="4"/>
  <c r="H1121" i="4"/>
  <c r="H1119" i="4"/>
  <c r="B1118" i="4"/>
  <c r="F1117" i="4"/>
  <c r="H1116" i="4"/>
  <c r="B1115" i="4"/>
  <c r="D1114" i="4"/>
  <c r="F1113" i="4"/>
  <c r="H1111" i="4"/>
  <c r="H1110" i="4"/>
  <c r="H1108" i="4"/>
  <c r="B1107" i="4"/>
  <c r="B1106" i="4"/>
  <c r="F1105" i="4"/>
  <c r="H1104" i="4"/>
  <c r="F1103" i="4"/>
  <c r="D1102" i="4"/>
  <c r="F1101" i="4"/>
  <c r="F1100" i="4"/>
  <c r="D1099" i="4"/>
  <c r="H1098" i="4"/>
  <c r="F1097" i="4"/>
  <c r="F1096" i="4"/>
  <c r="B1095" i="4"/>
  <c r="D1094" i="4"/>
  <c r="D1093" i="4"/>
  <c r="H1092" i="4"/>
  <c r="D1091" i="4"/>
  <c r="D1089" i="4"/>
  <c r="B1087" i="4"/>
  <c r="H1084" i="4"/>
  <c r="H1083" i="4"/>
  <c r="D1082" i="4"/>
  <c r="B1080" i="4"/>
  <c r="H1079" i="4"/>
  <c r="J1078" i="4"/>
  <c r="H1077" i="4"/>
  <c r="H1076" i="4"/>
  <c r="B1075" i="4"/>
  <c r="J1074" i="4"/>
  <c r="H1074" i="4"/>
  <c r="D1073" i="4"/>
  <c r="H1072" i="4"/>
  <c r="H1071" i="4"/>
  <c r="H1070" i="4"/>
  <c r="F1069" i="4"/>
  <c r="J1067" i="4"/>
  <c r="B1066" i="4"/>
  <c r="H1065" i="4"/>
  <c r="F1064" i="4"/>
  <c r="B1063" i="4"/>
  <c r="F1062" i="4"/>
  <c r="F1061" i="4"/>
  <c r="H1060" i="4"/>
  <c r="B1059" i="4"/>
  <c r="J1058" i="4"/>
  <c r="H1058" i="4"/>
  <c r="F1057" i="4"/>
  <c r="F1055" i="4"/>
  <c r="H1054" i="4"/>
  <c r="D1053" i="4"/>
  <c r="J1052" i="4"/>
  <c r="B1051" i="4"/>
  <c r="H1051" i="4"/>
  <c r="J1050" i="4"/>
  <c r="F1050" i="4"/>
  <c r="F1049" i="4"/>
  <c r="J1048" i="4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H1134" i="1"/>
  <c r="H1126" i="1"/>
  <c r="D1125" i="1"/>
  <c r="B1117" i="1"/>
  <c r="G1116" i="1"/>
  <c r="I1115" i="1"/>
  <c r="E1114" i="1"/>
  <c r="I1113" i="1"/>
  <c r="G1111" i="1"/>
  <c r="J1111" i="1"/>
  <c r="I1109" i="1"/>
  <c r="D1109" i="1"/>
  <c r="G1108" i="1"/>
  <c r="J1107" i="1"/>
  <c r="F1106" i="1"/>
  <c r="B1105" i="1"/>
  <c r="I1103" i="1"/>
  <c r="I1101" i="1"/>
  <c r="D1101" i="1"/>
  <c r="H1100" i="1"/>
  <c r="B1099" i="1"/>
  <c r="I1097" i="1"/>
  <c r="J1095" i="1"/>
  <c r="J1093" i="1"/>
  <c r="I1091" i="1"/>
  <c r="B1091" i="1"/>
  <c r="B1089" i="1"/>
  <c r="I1087" i="1"/>
  <c r="B1087" i="1"/>
  <c r="I1085" i="1"/>
  <c r="C1085" i="1"/>
  <c r="E1084" i="1"/>
  <c r="B1083" i="1"/>
  <c r="E1082" i="1"/>
  <c r="J1081" i="1"/>
  <c r="J1077" i="1"/>
  <c r="B1075" i="1"/>
  <c r="C1114" i="1"/>
  <c r="C1110" i="1"/>
  <c r="C1105" i="1"/>
  <c r="C1100" i="1"/>
  <c r="E1082" i="3"/>
  <c r="E1081" i="3"/>
  <c r="E1080" i="3"/>
  <c r="E1078" i="3"/>
  <c r="G1128" i="4"/>
  <c r="G1126" i="4"/>
  <c r="G1122" i="4"/>
  <c r="G1118" i="4"/>
  <c r="G1116" i="4"/>
  <c r="G1112" i="4"/>
  <c r="G1111" i="4"/>
  <c r="G1109" i="4"/>
  <c r="G1108" i="4"/>
  <c r="G1106" i="4"/>
  <c r="G1104" i="4"/>
  <c r="G1099" i="4"/>
  <c r="G1095" i="4"/>
  <c r="G1094" i="4"/>
  <c r="G1090" i="4"/>
  <c r="G1086" i="4"/>
  <c r="G1084" i="4"/>
  <c r="G1083" i="4"/>
  <c r="C1074" i="4"/>
  <c r="G1073" i="4"/>
  <c r="G1071" i="4"/>
  <c r="G1070" i="4"/>
  <c r="G1069" i="4"/>
  <c r="C1068" i="4"/>
  <c r="G1065" i="4"/>
  <c r="G1063" i="4"/>
  <c r="G1057" i="4"/>
  <c r="K1052" i="4"/>
  <c r="G1052" i="4"/>
  <c r="G1050" i="4"/>
  <c r="C1047" i="4"/>
  <c r="G1046" i="4"/>
  <c r="E1085" i="4"/>
  <c r="E1045" i="4"/>
  <c r="I1130" i="1"/>
  <c r="E1125" i="1"/>
  <c r="I1124" i="1"/>
  <c r="I1067" i="1"/>
  <c r="B1065" i="1"/>
  <c r="J1063" i="1"/>
  <c r="C1063" i="1"/>
  <c r="F1062" i="1"/>
  <c r="C1061" i="1"/>
  <c r="G1060" i="1"/>
  <c r="B1059" i="1"/>
  <c r="J1057" i="1"/>
  <c r="D1057" i="1"/>
  <c r="J1055" i="1"/>
  <c r="G1054" i="1"/>
  <c r="D1051" i="1"/>
  <c r="I1130" i="4"/>
  <c r="E1130" i="4"/>
  <c r="C1129" i="4"/>
  <c r="K1128" i="4"/>
  <c r="F1128" i="1"/>
  <c r="G1128" i="1"/>
  <c r="B1127" i="1"/>
  <c r="J1125" i="1"/>
  <c r="B1125" i="1"/>
  <c r="G1124" i="1"/>
  <c r="I1123" i="1"/>
  <c r="J1123" i="1"/>
  <c r="B1123" i="1"/>
  <c r="E1122" i="1"/>
  <c r="F1122" i="1"/>
  <c r="H1121" i="1"/>
  <c r="J1121" i="1"/>
  <c r="B1121" i="1"/>
  <c r="D1120" i="1"/>
  <c r="G1119" i="1"/>
  <c r="I1119" i="1"/>
  <c r="J1119" i="1"/>
  <c r="B1119" i="1"/>
  <c r="E1084" i="3"/>
  <c r="E1083" i="3"/>
  <c r="E1075" i="3"/>
  <c r="G1125" i="4"/>
  <c r="G1124" i="4"/>
  <c r="G1120" i="4"/>
  <c r="G1119" i="4"/>
  <c r="G1117" i="4"/>
  <c r="G1114" i="4"/>
  <c r="G1110" i="4"/>
  <c r="G1101" i="4"/>
  <c r="G1100" i="4"/>
  <c r="G1089" i="4"/>
  <c r="G1087" i="4"/>
  <c r="G1082" i="4"/>
  <c r="G1081" i="4"/>
  <c r="G1080" i="4"/>
  <c r="G1079" i="4"/>
  <c r="G1076" i="4"/>
  <c r="G1074" i="4"/>
  <c r="G1072" i="4"/>
  <c r="C1064" i="4"/>
  <c r="G1061" i="4"/>
  <c r="G1060" i="4"/>
  <c r="G1056" i="4"/>
  <c r="G1055" i="4"/>
  <c r="G1054" i="4"/>
  <c r="C1052" i="4"/>
  <c r="K1050" i="4"/>
  <c r="G1048" i="4"/>
  <c r="G1047" i="4"/>
  <c r="C1085" i="4"/>
  <c r="I1122" i="1"/>
  <c r="E1117" i="1"/>
  <c r="I1114" i="1"/>
  <c r="I1110" i="1"/>
  <c r="F1128" i="4"/>
  <c r="C1126" i="1"/>
  <c r="C1116" i="1"/>
  <c r="D1135" i="1"/>
  <c r="H1124" i="1"/>
  <c r="J1117" i="1"/>
  <c r="J1115" i="1"/>
  <c r="F1114" i="1"/>
  <c r="J1113" i="1"/>
  <c r="D1112" i="1"/>
  <c r="I1111" i="1"/>
  <c r="J1109" i="1"/>
  <c r="I1107" i="1"/>
  <c r="E1106" i="1"/>
  <c r="J1105" i="1"/>
  <c r="B1103" i="1"/>
  <c r="B1101" i="1"/>
  <c r="I1099" i="1"/>
  <c r="E1098" i="1"/>
  <c r="B1097" i="1"/>
  <c r="B1095" i="1"/>
  <c r="I1093" i="1"/>
  <c r="C1093" i="1"/>
  <c r="C1091" i="1"/>
  <c r="E1090" i="1"/>
  <c r="J1089" i="1"/>
  <c r="E1088" i="1"/>
  <c r="C1087" i="1"/>
  <c r="B1085" i="1"/>
  <c r="J1083" i="1"/>
  <c r="I1081" i="1"/>
  <c r="B1081" i="1"/>
  <c r="E1080" i="1"/>
  <c r="J1079" i="1"/>
  <c r="C1079" i="1"/>
  <c r="I1077" i="1"/>
  <c r="C1077" i="1"/>
  <c r="E1076" i="1"/>
  <c r="J1075" i="1"/>
  <c r="I1073" i="1"/>
  <c r="B1073" i="1"/>
  <c r="J1071" i="1"/>
  <c r="H1070" i="1"/>
  <c r="I1069" i="1"/>
  <c r="E1068" i="1"/>
  <c r="F1068" i="1"/>
  <c r="D1067" i="1"/>
  <c r="E1066" i="1"/>
  <c r="J1065" i="1"/>
  <c r="C1065" i="1"/>
  <c r="B1063" i="1"/>
  <c r="G1062" i="1"/>
  <c r="B1061" i="1"/>
  <c r="E1060" i="1"/>
  <c r="C1059" i="1"/>
  <c r="E1058" i="1"/>
  <c r="B1057" i="1"/>
  <c r="G1056" i="1"/>
  <c r="I1055" i="1"/>
  <c r="J1051" i="1"/>
  <c r="G1050" i="1"/>
  <c r="K1130" i="4"/>
  <c r="I1129" i="4"/>
  <c r="E1129" i="4"/>
  <c r="C1120" i="4"/>
  <c r="I1099" i="4"/>
  <c r="C1133" i="1"/>
  <c r="C1111" i="1"/>
  <c r="C1128" i="1"/>
  <c r="C1124" i="1"/>
  <c r="C1106" i="1"/>
  <c r="C1097" i="1"/>
  <c r="I1133" i="1"/>
  <c r="G1131" i="1"/>
  <c r="H1131" i="1"/>
  <c r="I1131" i="1"/>
  <c r="D1130" i="1"/>
  <c r="E1130" i="1"/>
  <c r="I1129" i="1"/>
  <c r="J1129" i="1"/>
  <c r="I1127" i="1"/>
  <c r="I1125" i="1"/>
  <c r="I1121" i="1"/>
  <c r="E1079" i="3"/>
  <c r="E1077" i="3"/>
  <c r="E1076" i="3"/>
  <c r="G1130" i="4"/>
  <c r="G1129" i="4"/>
  <c r="G1123" i="4"/>
  <c r="G1121" i="4"/>
  <c r="G1115" i="4"/>
  <c r="G1113" i="4"/>
  <c r="G1107" i="4"/>
  <c r="G1105" i="4"/>
  <c r="G1103" i="4"/>
  <c r="G1102" i="4"/>
  <c r="G1098" i="4"/>
  <c r="G1097" i="4"/>
  <c r="G1096" i="4"/>
  <c r="G1093" i="4"/>
  <c r="G1092" i="4"/>
  <c r="G1091" i="4"/>
  <c r="G1078" i="4"/>
  <c r="G1077" i="4"/>
  <c r="G1075" i="4"/>
  <c r="K1071" i="4"/>
  <c r="G1068" i="4"/>
  <c r="G1067" i="4"/>
  <c r="G1062" i="4"/>
  <c r="E1060" i="4"/>
  <c r="G1059" i="4"/>
  <c r="G1058" i="4"/>
  <c r="I1054" i="4"/>
  <c r="G1053" i="4"/>
  <c r="E1052" i="4"/>
  <c r="G1051" i="4"/>
  <c r="G1049" i="4"/>
  <c r="I1134" i="1"/>
  <c r="E1133" i="1"/>
  <c r="I1132" i="1"/>
  <c r="I1128" i="1"/>
  <c r="I1126" i="1"/>
  <c r="I1118" i="1"/>
  <c r="I1116" i="1"/>
  <c r="I1112" i="1"/>
  <c r="J1129" i="4"/>
  <c r="B1126" i="4"/>
  <c r="C1131" i="1"/>
  <c r="C1121" i="1"/>
  <c r="D1127" i="1"/>
  <c r="I1117" i="1"/>
  <c r="D1117" i="1"/>
  <c r="H1116" i="1"/>
  <c r="B1115" i="1"/>
  <c r="H1113" i="1"/>
  <c r="B1113" i="1"/>
  <c r="B1111" i="1"/>
  <c r="B1109" i="1"/>
  <c r="H1108" i="1"/>
  <c r="B1107" i="1"/>
  <c r="I1105" i="1"/>
  <c r="J1103" i="1"/>
  <c r="J1101" i="1"/>
  <c r="G1100" i="1"/>
  <c r="J1099" i="1"/>
  <c r="F1098" i="1"/>
  <c r="J1097" i="1"/>
  <c r="E1096" i="1"/>
  <c r="I1095" i="1"/>
  <c r="C1095" i="1"/>
  <c r="E1094" i="1"/>
  <c r="B1093" i="1"/>
  <c r="E1092" i="1"/>
  <c r="J1091" i="1"/>
  <c r="I1089" i="1"/>
  <c r="C1089" i="1"/>
  <c r="J1087" i="1"/>
  <c r="E1086" i="1"/>
  <c r="J1085" i="1"/>
  <c r="I1083" i="1"/>
  <c r="C1083" i="1"/>
  <c r="C1081" i="1"/>
  <c r="I1079" i="1"/>
  <c r="B1079" i="1"/>
  <c r="E1078" i="1"/>
  <c r="B1077" i="1"/>
  <c r="I1075" i="1"/>
  <c r="C1075" i="1"/>
  <c r="E1074" i="1"/>
  <c r="J1073" i="1"/>
  <c r="C1073" i="1"/>
  <c r="E1072" i="1"/>
  <c r="I1071" i="1"/>
  <c r="B1071" i="1"/>
  <c r="G1070" i="1"/>
  <c r="I1063" i="1"/>
  <c r="D1063" i="1"/>
  <c r="H1062" i="1"/>
  <c r="F1060" i="1"/>
  <c r="D1059" i="1"/>
  <c r="C1057" i="1"/>
  <c r="F1056" i="1"/>
  <c r="B1055" i="1"/>
  <c r="H1054" i="1"/>
  <c r="J1053" i="1"/>
  <c r="F1052" i="1"/>
  <c r="D1052" i="1"/>
  <c r="E1050" i="1"/>
  <c r="C1130" i="4"/>
  <c r="K1129" i="4"/>
  <c r="C1121" i="4"/>
  <c r="K1112" i="4"/>
  <c r="C1080" i="4"/>
  <c r="C1125" i="1"/>
  <c r="C1102" i="1"/>
  <c r="B1135" i="1"/>
  <c r="C1135" i="1"/>
  <c r="C1130" i="1"/>
  <c r="C1119" i="1"/>
  <c r="C1101" i="1"/>
  <c r="I1108" i="1"/>
  <c r="I1106" i="1"/>
  <c r="I1104" i="1"/>
  <c r="I1102" i="1"/>
  <c r="I1100" i="1"/>
  <c r="I1098" i="1"/>
  <c r="I1096" i="1"/>
  <c r="I1094" i="1"/>
  <c r="I1092" i="1"/>
  <c r="I1090" i="1"/>
  <c r="I1088" i="1"/>
  <c r="I1086" i="1"/>
  <c r="I1084" i="1"/>
  <c r="I1082" i="1"/>
  <c r="I1080" i="1"/>
  <c r="I1078" i="1"/>
  <c r="I1076" i="1"/>
  <c r="I1074" i="1"/>
  <c r="I1072" i="1"/>
  <c r="I1070" i="1"/>
  <c r="E1067" i="1"/>
  <c r="I1064" i="1"/>
  <c r="I1062" i="1"/>
  <c r="E1059" i="1"/>
  <c r="I1056" i="1"/>
  <c r="I1054" i="1"/>
  <c r="G1052" i="1"/>
  <c r="E1052" i="1"/>
  <c r="C1051" i="1"/>
  <c r="E1051" i="1"/>
  <c r="C1050" i="1"/>
  <c r="C1128" i="4"/>
  <c r="C1127" i="4"/>
  <c r="C1126" i="4"/>
  <c r="K1125" i="4"/>
  <c r="E1125" i="4"/>
  <c r="C1124" i="4"/>
  <c r="C1123" i="4"/>
  <c r="K1122" i="4"/>
  <c r="E1122" i="4"/>
  <c r="K1121" i="4"/>
  <c r="E1120" i="4"/>
  <c r="K1119" i="4"/>
  <c r="E1119" i="4"/>
  <c r="C1118" i="4"/>
  <c r="K1117" i="4"/>
  <c r="E1117" i="4"/>
  <c r="K1116" i="4"/>
  <c r="E1116" i="4"/>
  <c r="K1115" i="4"/>
  <c r="E1115" i="4"/>
  <c r="K1114" i="4"/>
  <c r="E1114" i="4"/>
  <c r="K1113" i="4"/>
  <c r="E1113" i="4"/>
  <c r="C1112" i="4"/>
  <c r="C1111" i="4"/>
  <c r="K1110" i="4"/>
  <c r="E1110" i="4"/>
  <c r="K1109" i="4"/>
  <c r="C1108" i="4"/>
  <c r="I1107" i="4"/>
  <c r="C1107" i="4"/>
  <c r="K1106" i="4"/>
  <c r="E1106" i="4"/>
  <c r="I1105" i="4"/>
  <c r="C1105" i="4"/>
  <c r="I1104" i="4"/>
  <c r="C1104" i="4"/>
  <c r="K1103" i="4"/>
  <c r="E1103" i="4"/>
  <c r="C1102" i="4"/>
  <c r="C1101" i="4"/>
  <c r="I1100" i="4"/>
  <c r="E1100" i="4"/>
  <c r="K1099" i="4"/>
  <c r="E1099" i="4"/>
  <c r="K1098" i="4"/>
  <c r="E1098" i="4"/>
  <c r="C1097" i="4"/>
  <c r="I1096" i="4"/>
  <c r="C1096" i="4"/>
  <c r="E1095" i="4"/>
  <c r="I1094" i="4"/>
  <c r="C1094" i="4"/>
  <c r="C1093" i="4"/>
  <c r="K1092" i="4"/>
  <c r="E1092" i="4"/>
  <c r="K1091" i="4"/>
  <c r="C1091" i="4"/>
  <c r="K1090" i="4"/>
  <c r="E1090" i="4"/>
  <c r="C1089" i="4"/>
  <c r="C1088" i="4"/>
  <c r="K1087" i="4"/>
  <c r="E1087" i="4"/>
  <c r="C1086" i="4"/>
  <c r="K1084" i="4"/>
  <c r="E1084" i="4"/>
  <c r="I1083" i="4"/>
  <c r="C1083" i="4"/>
  <c r="E1082" i="4"/>
  <c r="K1081" i="4"/>
  <c r="C1081" i="4"/>
  <c r="K1080" i="4"/>
  <c r="E1080" i="4"/>
  <c r="I1079" i="4"/>
  <c r="K1079" i="4"/>
  <c r="C1079" i="4"/>
  <c r="E1079" i="4"/>
  <c r="C1078" i="4"/>
  <c r="E1078" i="4"/>
  <c r="I1077" i="4"/>
  <c r="K1077" i="4"/>
  <c r="C1077" i="4"/>
  <c r="E1077" i="4"/>
  <c r="K1076" i="4"/>
  <c r="C1076" i="4"/>
  <c r="E1076" i="4"/>
  <c r="E1070" i="4"/>
  <c r="E1068" i="4"/>
  <c r="K1055" i="4"/>
  <c r="C1129" i="1"/>
  <c r="C1123" i="1"/>
  <c r="C1115" i="1"/>
  <c r="C1107" i="1"/>
  <c r="C1099" i="1"/>
  <c r="E1128" i="4"/>
  <c r="K1127" i="4"/>
  <c r="E1127" i="4"/>
  <c r="K1126" i="4"/>
  <c r="E1126" i="4"/>
  <c r="K1124" i="4"/>
  <c r="E1124" i="4"/>
  <c r="K1123" i="4"/>
  <c r="E1123" i="4"/>
  <c r="C1122" i="4"/>
  <c r="E1121" i="4"/>
  <c r="K1120" i="4"/>
  <c r="C1119" i="4"/>
  <c r="K1118" i="4"/>
  <c r="E1118" i="4"/>
  <c r="C1117" i="4"/>
  <c r="C1116" i="4"/>
  <c r="I1115" i="4"/>
  <c r="C1115" i="4"/>
  <c r="C1114" i="4"/>
  <c r="C1113" i="4"/>
  <c r="E1112" i="4"/>
  <c r="K1111" i="4"/>
  <c r="E1111" i="4"/>
  <c r="I1110" i="4"/>
  <c r="C1110" i="4"/>
  <c r="C1109" i="4"/>
  <c r="K1108" i="4"/>
  <c r="E1108" i="4"/>
  <c r="K1107" i="4"/>
  <c r="E1107" i="4"/>
  <c r="I1106" i="4"/>
  <c r="C1106" i="4"/>
  <c r="K1105" i="4"/>
  <c r="E1105" i="4"/>
  <c r="K1104" i="4"/>
  <c r="E1104" i="4"/>
  <c r="C1103" i="4"/>
  <c r="E1102" i="4"/>
  <c r="K1101" i="4"/>
  <c r="E1101" i="4"/>
  <c r="K1100" i="4"/>
  <c r="C1100" i="4"/>
  <c r="C1099" i="4"/>
  <c r="C1098" i="4"/>
  <c r="K1097" i="4"/>
  <c r="E1097" i="4"/>
  <c r="K1096" i="4"/>
  <c r="E1096" i="4"/>
  <c r="K1095" i="4"/>
  <c r="C1095" i="4"/>
  <c r="K1094" i="4"/>
  <c r="E1094" i="4"/>
  <c r="K1093" i="4"/>
  <c r="E1093" i="4"/>
  <c r="C1092" i="4"/>
  <c r="E1091" i="4"/>
  <c r="C1090" i="4"/>
  <c r="K1089" i="4"/>
  <c r="E1089" i="4"/>
  <c r="K1088" i="4"/>
  <c r="E1088" i="4"/>
  <c r="I1087" i="4"/>
  <c r="C1087" i="4"/>
  <c r="K1086" i="4"/>
  <c r="E1086" i="4"/>
  <c r="I1084" i="4"/>
  <c r="C1084" i="4"/>
  <c r="K1083" i="4"/>
  <c r="E1083" i="4"/>
  <c r="K1082" i="4"/>
  <c r="E1081" i="4"/>
  <c r="K1078" i="4"/>
  <c r="C1132" i="1"/>
  <c r="C1120" i="1"/>
  <c r="C1112" i="1"/>
  <c r="C1104" i="1"/>
  <c r="E1097" i="3"/>
  <c r="A1098" i="3"/>
  <c r="B1097" i="3"/>
  <c r="C1097" i="3"/>
  <c r="D1097" i="3"/>
  <c r="J1124" i="1"/>
  <c r="B1124" i="1"/>
  <c r="J1122" i="1"/>
  <c r="B1122" i="1"/>
  <c r="J1120" i="1"/>
  <c r="B1120" i="1"/>
  <c r="J1118" i="1"/>
  <c r="B1118" i="1"/>
  <c r="J1116" i="1"/>
  <c r="B1116" i="1"/>
  <c r="J1114" i="1"/>
  <c r="B1114" i="1"/>
  <c r="J1112" i="1"/>
  <c r="B1112" i="1"/>
  <c r="J1110" i="1"/>
  <c r="B1110" i="1"/>
  <c r="J1108" i="1"/>
  <c r="B1108" i="1"/>
  <c r="J1106" i="1"/>
  <c r="B1106" i="1"/>
  <c r="J1104" i="1"/>
  <c r="B1104" i="1"/>
  <c r="J1102" i="1"/>
  <c r="B1102" i="1"/>
  <c r="J1100" i="1"/>
  <c r="B1100" i="1"/>
  <c r="J1098" i="1"/>
  <c r="B1098" i="1"/>
  <c r="J1096" i="1"/>
  <c r="B1096" i="1"/>
  <c r="J1094" i="1"/>
  <c r="B1094" i="1"/>
  <c r="J1092" i="1"/>
  <c r="B1092" i="1"/>
  <c r="J1090" i="1"/>
  <c r="B1090" i="1"/>
  <c r="J1088" i="1"/>
  <c r="B1088" i="1"/>
  <c r="J1086" i="1"/>
  <c r="B1086" i="1"/>
  <c r="J1084" i="1"/>
  <c r="B1084" i="1"/>
  <c r="J1082" i="1"/>
  <c r="B1082" i="1"/>
  <c r="J1080" i="1"/>
  <c r="B1080" i="1"/>
  <c r="J1078" i="1"/>
  <c r="B1078" i="1"/>
  <c r="J1076" i="1"/>
  <c r="B1076" i="1"/>
  <c r="B1075" i="2"/>
  <c r="A1076" i="2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D1096" i="3"/>
  <c r="E1073" i="3"/>
  <c r="E1071" i="3"/>
  <c r="E1070" i="3"/>
  <c r="E1068" i="3"/>
  <c r="E1066" i="3"/>
  <c r="E1063" i="3"/>
  <c r="E1062" i="3"/>
  <c r="E1061" i="3"/>
  <c r="E1059" i="3"/>
  <c r="E1055" i="3"/>
  <c r="E1054" i="3"/>
  <c r="E1052" i="3"/>
  <c r="E1050" i="3"/>
  <c r="I1127" i="4"/>
  <c r="I1126" i="4"/>
  <c r="I1125" i="4"/>
  <c r="I1121" i="4"/>
  <c r="I1114" i="4"/>
  <c r="I1113" i="4"/>
  <c r="I1111" i="4"/>
  <c r="I1098" i="4"/>
  <c r="I1095" i="4"/>
  <c r="I1093" i="4"/>
  <c r="I1090" i="4"/>
  <c r="I1088" i="4"/>
  <c r="I1078" i="4"/>
  <c r="I1076" i="4"/>
  <c r="I1061" i="4"/>
  <c r="I1057" i="4"/>
  <c r="I1055" i="4"/>
  <c r="K1075" i="4"/>
  <c r="C1075" i="4"/>
  <c r="E1075" i="4"/>
  <c r="K1074" i="4"/>
  <c r="E1074" i="4"/>
  <c r="I1073" i="4"/>
  <c r="K1073" i="4"/>
  <c r="C1073" i="4"/>
  <c r="E1073" i="4"/>
  <c r="I1072" i="4"/>
  <c r="K1072" i="4"/>
  <c r="C1072" i="4"/>
  <c r="E1072" i="4"/>
  <c r="C1071" i="4"/>
  <c r="E1071" i="4"/>
  <c r="K1070" i="4"/>
  <c r="C1070" i="4"/>
  <c r="K1069" i="4"/>
  <c r="C1069" i="4"/>
  <c r="E1069" i="4"/>
  <c r="I1068" i="4"/>
  <c r="K1068" i="4"/>
  <c r="I1067" i="4"/>
  <c r="K1067" i="4"/>
  <c r="C1067" i="4"/>
  <c r="E1067" i="4"/>
  <c r="I1066" i="4"/>
  <c r="K1066" i="4"/>
  <c r="C1066" i="4"/>
  <c r="E1066" i="4"/>
  <c r="I1065" i="4"/>
  <c r="K1065" i="4"/>
  <c r="C1065" i="4"/>
  <c r="E1065" i="4"/>
  <c r="K1064" i="4"/>
  <c r="E1064" i="4"/>
  <c r="K1063" i="4"/>
  <c r="C1063" i="4"/>
  <c r="E1063" i="4"/>
  <c r="K1062" i="4"/>
  <c r="C1062" i="4"/>
  <c r="E1062" i="4"/>
  <c r="K1061" i="4"/>
  <c r="C1061" i="4"/>
  <c r="E1061" i="4"/>
  <c r="K1060" i="4"/>
  <c r="C1060" i="4"/>
  <c r="K1059" i="4"/>
  <c r="C1059" i="4"/>
  <c r="E1059" i="4"/>
  <c r="K1058" i="4"/>
  <c r="C1058" i="4"/>
  <c r="E1058" i="4"/>
  <c r="K1057" i="4"/>
  <c r="C1057" i="4"/>
  <c r="E1057" i="4"/>
  <c r="K1056" i="4"/>
  <c r="C1056" i="4"/>
  <c r="E1056" i="4"/>
  <c r="C1055" i="4"/>
  <c r="E1055" i="4"/>
  <c r="K1054" i="4"/>
  <c r="C1054" i="4"/>
  <c r="E1054" i="4"/>
  <c r="K1053" i="4"/>
  <c r="C1053" i="4"/>
  <c r="E1053" i="4"/>
  <c r="K1051" i="4"/>
  <c r="C1051" i="4"/>
  <c r="E1051" i="4"/>
  <c r="C1050" i="4"/>
  <c r="E1050" i="4"/>
  <c r="K1049" i="4"/>
  <c r="C1049" i="4"/>
  <c r="E1049" i="4"/>
  <c r="K1048" i="4"/>
  <c r="C1048" i="4"/>
  <c r="E1048" i="4"/>
  <c r="K1047" i="4"/>
  <c r="E1047" i="4"/>
  <c r="K1046" i="4"/>
  <c r="C1046" i="4"/>
  <c r="E1046" i="4"/>
  <c r="I1085" i="4"/>
  <c r="I1045" i="4"/>
  <c r="K1085" i="4"/>
  <c r="K1045" i="4"/>
  <c r="C1045" i="4"/>
  <c r="B1096" i="3"/>
  <c r="B1093" i="3"/>
  <c r="B1090" i="3"/>
  <c r="B1088" i="3"/>
  <c r="B1085" i="3"/>
  <c r="B1082" i="3"/>
  <c r="B1080" i="3"/>
  <c r="B1077" i="3"/>
  <c r="B1074" i="3"/>
  <c r="B1072" i="3"/>
  <c r="B1070" i="3"/>
  <c r="B1068" i="3"/>
  <c r="B1066" i="3"/>
  <c r="B1064" i="3"/>
  <c r="B1062" i="3"/>
  <c r="B1060" i="3"/>
  <c r="B1058" i="3"/>
  <c r="B1056" i="3"/>
  <c r="B1054" i="3"/>
  <c r="B1052" i="3"/>
  <c r="B1050" i="3"/>
  <c r="D1130" i="4"/>
  <c r="F1130" i="4"/>
  <c r="B1129" i="4"/>
  <c r="B1128" i="4"/>
  <c r="J1127" i="4"/>
  <c r="F1127" i="4"/>
  <c r="J1126" i="4"/>
  <c r="F1126" i="4"/>
  <c r="D1125" i="4"/>
  <c r="F1125" i="4"/>
  <c r="D1124" i="4"/>
  <c r="B1123" i="4"/>
  <c r="D1123" i="4"/>
  <c r="B1122" i="4"/>
  <c r="I1128" i="4"/>
  <c r="I1124" i="4"/>
  <c r="I1123" i="4"/>
  <c r="I1122" i="4"/>
  <c r="I1120" i="4"/>
  <c r="I1119" i="4"/>
  <c r="I1118" i="4"/>
  <c r="I1117" i="4"/>
  <c r="I1116" i="4"/>
  <c r="I1112" i="4"/>
  <c r="I1109" i="4"/>
  <c r="I1108" i="4"/>
  <c r="I1103" i="4"/>
  <c r="I1102" i="4"/>
  <c r="I1101" i="4"/>
  <c r="I1097" i="4"/>
  <c r="I1092" i="4"/>
  <c r="I1091" i="4"/>
  <c r="I1086" i="4"/>
  <c r="I1082" i="4"/>
  <c r="I1081" i="4"/>
  <c r="I1080" i="4"/>
  <c r="I1075" i="4"/>
  <c r="I1074" i="4"/>
  <c r="I1071" i="4"/>
  <c r="I1070" i="4"/>
  <c r="I1069" i="4"/>
  <c r="I1064" i="4"/>
  <c r="I1063" i="4"/>
  <c r="I1062" i="4"/>
  <c r="I1060" i="4"/>
  <c r="I1059" i="4"/>
  <c r="I1058" i="4"/>
  <c r="I1053" i="4"/>
  <c r="I1052" i="4"/>
  <c r="I1051" i="4"/>
  <c r="I1050" i="4"/>
  <c r="I1049" i="4"/>
  <c r="I1048" i="4"/>
  <c r="I1047" i="4"/>
  <c r="I1046" i="4"/>
  <c r="G1085" i="4"/>
  <c r="G1045" i="4"/>
  <c r="B1130" i="4"/>
  <c r="D1129" i="4"/>
  <c r="D1128" i="4"/>
  <c r="J1122" i="4"/>
  <c r="J1121" i="4"/>
  <c r="B1121" i="4"/>
  <c r="J1119" i="4"/>
  <c r="J1118" i="4"/>
  <c r="J1117" i="4"/>
  <c r="D1111" i="4"/>
  <c r="D1106" i="4"/>
  <c r="J1103" i="4"/>
  <c r="J1098" i="4"/>
  <c r="B1094" i="4"/>
  <c r="J1092" i="4"/>
  <c r="J1120" i="4"/>
  <c r="B1120" i="4"/>
  <c r="D1119" i="4"/>
  <c r="J1116" i="4"/>
  <c r="B1116" i="4"/>
  <c r="D1115" i="4"/>
  <c r="J1112" i="4"/>
  <c r="D1112" i="4"/>
  <c r="J1111" i="4"/>
  <c r="B1111" i="4"/>
  <c r="B1110" i="4"/>
  <c r="J1109" i="4"/>
  <c r="B1109" i="4"/>
  <c r="D1109" i="4"/>
  <c r="D1108" i="4"/>
  <c r="D1107" i="4"/>
  <c r="J1105" i="4"/>
  <c r="B1105" i="4"/>
  <c r="D1104" i="4"/>
  <c r="J1102" i="4"/>
  <c r="J1101" i="4"/>
  <c r="B1101" i="4"/>
  <c r="J1100" i="4"/>
  <c r="B1100" i="4"/>
  <c r="D1100" i="4"/>
  <c r="B1099" i="4"/>
  <c r="D1098" i="4"/>
  <c r="J1097" i="4"/>
  <c r="B1097" i="4"/>
  <c r="D1097" i="4"/>
  <c r="D1096" i="4"/>
  <c r="J1093" i="4"/>
  <c r="B1093" i="4"/>
  <c r="D1092" i="4"/>
  <c r="J1091" i="4"/>
  <c r="J1090" i="4"/>
  <c r="B1090" i="4"/>
  <c r="J1089" i="4"/>
  <c r="B1089" i="4"/>
  <c r="B1088" i="4"/>
  <c r="D1088" i="4"/>
  <c r="D1087" i="4"/>
  <c r="D1086" i="4"/>
  <c r="D1084" i="4"/>
  <c r="J1081" i="4"/>
  <c r="B1081" i="4"/>
  <c r="J1080" i="4"/>
  <c r="J1079" i="4"/>
  <c r="B1079" i="4"/>
  <c r="B1078" i="4"/>
  <c r="D1077" i="4"/>
  <c r="D1075" i="4"/>
  <c r="J1068" i="4"/>
  <c r="B1067" i="4"/>
  <c r="D1065" i="4"/>
  <c r="D1080" i="4"/>
  <c r="J1077" i="4"/>
  <c r="B1077" i="4"/>
  <c r="D1076" i="4"/>
  <c r="J1073" i="4"/>
  <c r="B1073" i="4"/>
  <c r="D1072" i="4"/>
  <c r="J1069" i="4"/>
  <c r="B1069" i="4"/>
  <c r="D1068" i="4"/>
  <c r="J1065" i="4"/>
  <c r="B1065" i="4"/>
  <c r="D1064" i="4"/>
  <c r="J1061" i="4"/>
  <c r="B1061" i="4"/>
  <c r="D1060" i="4"/>
  <c r="J1057" i="4"/>
  <c r="B1057" i="4"/>
  <c r="D1056" i="4"/>
  <c r="J1053" i="4"/>
  <c r="B1053" i="4"/>
  <c r="D1052" i="4"/>
  <c r="J1049" i="4"/>
  <c r="B1049" i="4"/>
  <c r="D1048" i="4"/>
  <c r="J1045" i="4"/>
  <c r="J1085" i="4"/>
  <c r="B1045" i="4"/>
  <c r="B1085" i="4"/>
  <c r="B1098" i="3" l="1"/>
  <c r="C1098" i="3"/>
  <c r="D1098" i="3"/>
  <c r="E1098" i="3"/>
  <c r="A1099" i="3"/>
  <c r="A1077" i="2"/>
  <c r="B1076" i="2"/>
  <c r="C1099" i="3" l="1"/>
  <c r="D1099" i="3"/>
  <c r="E1099" i="3"/>
  <c r="B1099" i="3"/>
  <c r="A1100" i="3"/>
  <c r="B1077" i="2"/>
  <c r="A1078" i="2"/>
  <c r="A1101" i="3" l="1"/>
  <c r="D1100" i="3"/>
  <c r="E1100" i="3"/>
  <c r="C1100" i="3"/>
  <c r="B1100" i="3"/>
  <c r="A1079" i="2"/>
  <c r="B1078" i="2"/>
  <c r="B1079" i="2" l="1"/>
  <c r="A1080" i="2"/>
  <c r="B1101" i="3"/>
  <c r="C1101" i="3"/>
  <c r="D1101" i="3"/>
  <c r="A1102" i="3"/>
  <c r="E1101" i="3"/>
  <c r="D1102" i="3" l="1"/>
  <c r="E1102" i="3"/>
  <c r="A1103" i="3"/>
  <c r="C1102" i="3"/>
  <c r="B1102" i="3"/>
  <c r="A1081" i="2"/>
  <c r="B1080" i="2"/>
  <c r="B1081" i="2" l="1"/>
  <c r="A1082" i="2"/>
  <c r="C1103" i="3"/>
  <c r="D1103" i="3"/>
  <c r="E1103" i="3"/>
  <c r="A1104" i="3"/>
  <c r="B1103" i="3"/>
  <c r="B1104" i="3" l="1"/>
  <c r="C1104" i="3"/>
  <c r="D1104" i="3"/>
  <c r="E1104" i="3"/>
  <c r="A1105" i="3"/>
  <c r="B1082" i="2"/>
  <c r="A1083" i="2"/>
  <c r="A1084" i="2" l="1"/>
  <c r="B1083" i="2"/>
  <c r="E1105" i="3"/>
  <c r="A1106" i="3"/>
  <c r="D1105" i="3"/>
  <c r="B1105" i="3"/>
  <c r="C1105" i="3"/>
  <c r="B1106" i="3" l="1"/>
  <c r="C1106" i="3"/>
  <c r="D1106" i="3"/>
  <c r="A1107" i="3"/>
  <c r="E1106" i="3"/>
  <c r="A1085" i="2"/>
  <c r="B1084" i="2"/>
  <c r="C1107" i="3" l="1"/>
  <c r="D1107" i="3"/>
  <c r="E1107" i="3"/>
  <c r="A1108" i="3"/>
  <c r="B1107" i="3"/>
  <c r="B1085" i="2"/>
  <c r="A1086" i="2"/>
  <c r="A1109" i="3" l="1"/>
  <c r="C1108" i="3"/>
  <c r="D1108" i="3"/>
  <c r="E1108" i="3"/>
  <c r="B1108" i="3"/>
  <c r="B1086" i="2"/>
  <c r="A1087" i="2"/>
  <c r="A1088" i="2" l="1"/>
  <c r="B1087" i="2"/>
  <c r="B1109" i="3"/>
  <c r="C1109" i="3"/>
  <c r="E1109" i="3"/>
  <c r="D1109" i="3"/>
  <c r="A1110" i="3"/>
  <c r="D1110" i="3" l="1"/>
  <c r="E1110" i="3"/>
  <c r="A1111" i="3"/>
  <c r="B1110" i="3"/>
  <c r="C1110" i="3"/>
  <c r="A1089" i="2"/>
  <c r="B1088" i="2"/>
  <c r="B1089" i="2" l="1"/>
  <c r="A1090" i="2"/>
  <c r="B1111" i="3"/>
  <c r="C1111" i="3"/>
  <c r="D1111" i="3"/>
  <c r="A1112" i="3"/>
  <c r="E1111" i="3"/>
  <c r="B1112" i="3" l="1"/>
  <c r="C1112" i="3"/>
  <c r="D1112" i="3"/>
  <c r="A1113" i="3"/>
  <c r="E1112" i="3"/>
  <c r="B1090" i="2"/>
  <c r="A1091" i="2"/>
  <c r="E1113" i="3" l="1"/>
  <c r="A1114" i="3"/>
  <c r="C1113" i="3"/>
  <c r="D1113" i="3"/>
  <c r="B1113" i="3"/>
  <c r="B1091" i="2"/>
  <c r="A1092" i="2"/>
  <c r="A1093" i="2" l="1"/>
  <c r="B1092" i="2"/>
  <c r="B1114" i="3"/>
  <c r="C1114" i="3"/>
  <c r="E1114" i="3"/>
  <c r="D1114" i="3"/>
  <c r="A1115" i="3"/>
  <c r="C1115" i="3" l="1"/>
  <c r="D1115" i="3"/>
  <c r="E1115" i="3"/>
  <c r="B1115" i="3"/>
  <c r="A1116" i="3"/>
  <c r="B1093" i="2"/>
  <c r="A1094" i="2"/>
  <c r="B1094" i="2" l="1"/>
  <c r="A1095" i="2"/>
  <c r="A1117" i="3"/>
  <c r="B1116" i="3"/>
  <c r="C1116" i="3"/>
  <c r="D1116" i="3"/>
  <c r="E1116" i="3"/>
  <c r="B1117" i="3" l="1"/>
  <c r="C1117" i="3"/>
  <c r="D1117" i="3"/>
  <c r="E1117" i="3"/>
  <c r="A1118" i="3"/>
  <c r="A1096" i="2"/>
  <c r="B1095" i="2"/>
  <c r="A1097" i="2" l="1"/>
  <c r="B1096" i="2"/>
  <c r="D1118" i="3"/>
  <c r="E1118" i="3"/>
  <c r="A1119" i="3"/>
  <c r="C1118" i="3"/>
  <c r="B1118" i="3"/>
  <c r="I1097" i="2" l="1"/>
  <c r="B1097" i="2"/>
  <c r="J1097" i="2"/>
  <c r="C1097" i="2"/>
  <c r="A1098" i="2"/>
  <c r="D1097" i="2"/>
  <c r="E1097" i="2"/>
  <c r="F1097" i="2"/>
  <c r="G1097" i="2"/>
  <c r="H1097" i="2"/>
  <c r="B1119" i="3"/>
  <c r="C1119" i="3"/>
  <c r="E1119" i="3"/>
  <c r="D1119" i="3"/>
  <c r="A1120" i="3"/>
  <c r="B1120" i="3" l="1"/>
  <c r="C1120" i="3"/>
  <c r="D1120" i="3"/>
  <c r="E1120" i="3"/>
  <c r="A1121" i="3"/>
  <c r="G1098" i="2"/>
  <c r="H1098" i="2"/>
  <c r="I1098" i="2"/>
  <c r="E1098" i="2"/>
  <c r="F1098" i="2"/>
  <c r="J1098" i="2"/>
  <c r="B1098" i="2"/>
  <c r="A1099" i="2"/>
  <c r="D1098" i="2"/>
  <c r="C1098" i="2"/>
  <c r="E1121" i="3" l="1"/>
  <c r="A1122" i="3"/>
  <c r="B1121" i="3"/>
  <c r="C1121" i="3"/>
  <c r="D1121" i="3"/>
  <c r="E1099" i="2"/>
  <c r="F1099" i="2"/>
  <c r="G1099" i="2"/>
  <c r="I1099" i="2"/>
  <c r="J1099" i="2"/>
  <c r="A1100" i="2"/>
  <c r="D1099" i="2"/>
  <c r="H1099" i="2"/>
  <c r="C1099" i="2"/>
  <c r="B1099" i="2"/>
  <c r="B1122" i="3" l="1"/>
  <c r="D1122" i="3"/>
  <c r="C1122" i="3"/>
  <c r="E1122" i="3"/>
  <c r="A1123" i="3"/>
  <c r="C1100" i="2"/>
  <c r="A1101" i="2"/>
  <c r="D1100" i="2"/>
  <c r="E1100" i="2"/>
  <c r="J1100" i="2"/>
  <c r="B1100" i="2"/>
  <c r="F1100" i="2"/>
  <c r="G1100" i="2"/>
  <c r="H1100" i="2"/>
  <c r="I1100" i="2"/>
  <c r="C1123" i="3" l="1"/>
  <c r="D1123" i="3"/>
  <c r="E1123" i="3"/>
  <c r="A1124" i="3"/>
  <c r="B1123" i="3"/>
  <c r="I1101" i="2"/>
  <c r="B1101" i="2"/>
  <c r="J1101" i="2"/>
  <c r="C1101" i="2"/>
  <c r="A1102" i="2"/>
  <c r="D1101" i="2"/>
  <c r="E1101" i="2"/>
  <c r="G1101" i="2"/>
  <c r="H1101" i="2"/>
  <c r="F1101" i="2"/>
  <c r="G1102" i="2" l="1"/>
  <c r="H1102" i="2"/>
  <c r="I1102" i="2"/>
  <c r="D1102" i="2"/>
  <c r="E1102" i="2"/>
  <c r="F1102" i="2"/>
  <c r="B1102" i="2"/>
  <c r="C1102" i="2"/>
  <c r="J1102" i="2"/>
  <c r="A1103" i="2"/>
  <c r="A1125" i="3"/>
  <c r="B1124" i="3"/>
  <c r="C1124" i="3"/>
  <c r="E1124" i="3"/>
  <c r="D1124" i="3"/>
  <c r="E1103" i="2" l="1"/>
  <c r="F1103" i="2"/>
  <c r="G1103" i="2"/>
  <c r="H1103" i="2"/>
  <c r="I1103" i="2"/>
  <c r="J1103" i="2"/>
  <c r="D1103" i="2"/>
  <c r="A1104" i="2"/>
  <c r="C1103" i="2"/>
  <c r="B1103" i="2"/>
  <c r="B1125" i="3"/>
  <c r="C1125" i="3"/>
  <c r="A1126" i="3"/>
  <c r="E1125" i="3"/>
  <c r="D1125" i="3"/>
  <c r="C1104" i="2" l="1"/>
  <c r="A1105" i="2"/>
  <c r="D1104" i="2"/>
  <c r="E1104" i="2"/>
  <c r="I1104" i="2"/>
  <c r="J1104" i="2"/>
  <c r="F1104" i="2"/>
  <c r="G1104" i="2"/>
  <c r="H1104" i="2"/>
  <c r="B1104" i="2"/>
  <c r="D1126" i="3"/>
  <c r="E1126" i="3"/>
  <c r="A1127" i="3"/>
  <c r="B1126" i="3"/>
  <c r="C1126" i="3"/>
  <c r="B1127" i="3" l="1"/>
  <c r="D1127" i="3"/>
  <c r="C1127" i="3"/>
  <c r="E1127" i="3"/>
  <c r="A1128" i="3"/>
  <c r="I1105" i="2"/>
  <c r="B1105" i="2"/>
  <c r="J1105" i="2"/>
  <c r="C1105" i="2"/>
  <c r="A1106" i="2"/>
  <c r="D1105" i="2"/>
  <c r="G1105" i="2"/>
  <c r="E1105" i="2"/>
  <c r="F1105" i="2"/>
  <c r="H1105" i="2"/>
  <c r="B1128" i="3" l="1"/>
  <c r="C1128" i="3"/>
  <c r="D1128" i="3"/>
  <c r="A1129" i="3"/>
  <c r="E1128" i="3"/>
  <c r="G1106" i="2"/>
  <c r="H1106" i="2"/>
  <c r="I1106" i="2"/>
  <c r="C1106" i="2"/>
  <c r="D1106" i="2"/>
  <c r="E1106" i="2"/>
  <c r="J1106" i="2"/>
  <c r="A1107" i="2"/>
  <c r="F1106" i="2"/>
  <c r="B1106" i="2"/>
  <c r="E1107" i="2" l="1"/>
  <c r="F1107" i="2"/>
  <c r="G1107" i="2"/>
  <c r="D1107" i="2"/>
  <c r="H1107" i="2"/>
  <c r="I1107" i="2"/>
  <c r="J1107" i="2"/>
  <c r="B1107" i="2"/>
  <c r="A1108" i="2"/>
  <c r="C1107" i="2"/>
  <c r="E1129" i="3"/>
  <c r="A1130" i="3"/>
  <c r="B1129" i="3"/>
  <c r="C1129" i="3"/>
  <c r="D1129" i="3"/>
  <c r="B1130" i="3" l="1"/>
  <c r="C1130" i="3"/>
  <c r="A1131" i="3"/>
  <c r="D1130" i="3"/>
  <c r="E1130" i="3"/>
  <c r="C1108" i="2"/>
  <c r="A1109" i="2"/>
  <c r="D1108" i="2"/>
  <c r="E1108" i="2"/>
  <c r="H1108" i="2"/>
  <c r="I1108" i="2"/>
  <c r="J1108" i="2"/>
  <c r="G1108" i="2"/>
  <c r="F1108" i="2"/>
  <c r="B1108" i="2"/>
  <c r="C1131" i="3" l="1"/>
  <c r="D1131" i="3"/>
  <c r="E1131" i="3"/>
  <c r="B1131" i="3"/>
  <c r="A1132" i="3"/>
  <c r="I1109" i="2"/>
  <c r="B1109" i="2"/>
  <c r="J1109" i="2"/>
  <c r="C1109" i="2"/>
  <c r="A1110" i="2"/>
  <c r="G1109" i="2"/>
  <c r="D1109" i="2"/>
  <c r="E1109" i="2"/>
  <c r="F1109" i="2"/>
  <c r="H1109" i="2"/>
  <c r="A1133" i="3" l="1"/>
  <c r="B1132" i="3"/>
  <c r="D1132" i="3"/>
  <c r="C1132" i="3"/>
  <c r="E1132" i="3"/>
  <c r="G1110" i="2"/>
  <c r="H1110" i="2"/>
  <c r="I1110" i="2"/>
  <c r="B1110" i="2"/>
  <c r="C1110" i="2"/>
  <c r="D1110" i="2"/>
  <c r="A1111" i="2"/>
  <c r="E1110" i="2"/>
  <c r="F1110" i="2"/>
  <c r="J1110" i="2"/>
  <c r="E1111" i="2" l="1"/>
  <c r="F1111" i="2"/>
  <c r="G1111" i="2"/>
  <c r="C1111" i="2"/>
  <c r="D1111" i="2"/>
  <c r="H1111" i="2"/>
  <c r="J1111" i="2"/>
  <c r="B1111" i="2"/>
  <c r="I1111" i="2"/>
  <c r="A1112" i="2"/>
  <c r="B1133" i="3"/>
  <c r="C1133" i="3"/>
  <c r="A1134" i="3"/>
  <c r="D1133" i="3"/>
  <c r="E1133" i="3"/>
  <c r="D1134" i="3" l="1"/>
  <c r="E1134" i="3"/>
  <c r="A1135" i="3"/>
  <c r="B1134" i="3"/>
  <c r="C1134" i="3"/>
  <c r="C1112" i="2"/>
  <c r="A1113" i="2"/>
  <c r="D1112" i="2"/>
  <c r="E1112" i="2"/>
  <c r="G1112" i="2"/>
  <c r="H1112" i="2"/>
  <c r="I1112" i="2"/>
  <c r="J1112" i="2"/>
  <c r="F1112" i="2"/>
  <c r="B1112" i="2"/>
  <c r="C1135" i="3" l="1"/>
  <c r="B1135" i="3"/>
  <c r="E1135" i="3"/>
  <c r="D1135" i="3"/>
  <c r="I1113" i="2"/>
  <c r="B1113" i="2"/>
  <c r="J1113" i="2"/>
  <c r="C1113" i="2"/>
  <c r="A1114" i="2"/>
  <c r="H1113" i="2"/>
  <c r="G1113" i="2"/>
  <c r="F1113" i="2"/>
  <c r="E1113" i="2"/>
  <c r="D1113" i="2"/>
  <c r="G1114" i="2" l="1"/>
  <c r="H1114" i="2"/>
  <c r="I1114" i="2"/>
  <c r="B1114" i="2"/>
  <c r="C1114" i="2"/>
  <c r="D1114" i="2"/>
  <c r="E1114" i="2"/>
  <c r="F1114" i="2"/>
  <c r="J1114" i="2"/>
  <c r="A1115" i="2"/>
  <c r="E1115" i="2" l="1"/>
  <c r="F1115" i="2"/>
  <c r="G1115" i="2"/>
  <c r="B1115" i="2"/>
  <c r="C1115" i="2"/>
  <c r="D1115" i="2"/>
  <c r="J1115" i="2"/>
  <c r="A1116" i="2"/>
  <c r="I1115" i="2"/>
  <c r="H1115" i="2"/>
  <c r="C1116" i="2" l="1"/>
  <c r="A1117" i="2"/>
  <c r="D1116" i="2"/>
  <c r="E1116" i="2"/>
  <c r="F1116" i="2"/>
  <c r="G1116" i="2"/>
  <c r="H1116" i="2"/>
  <c r="B1116" i="2"/>
  <c r="I1116" i="2"/>
  <c r="J1116" i="2"/>
  <c r="I1117" i="2" l="1"/>
  <c r="B1117" i="2"/>
  <c r="J1117" i="2"/>
  <c r="C1117" i="2"/>
  <c r="A1118" i="2"/>
  <c r="G1117" i="2"/>
  <c r="H1117" i="2"/>
  <c r="F1117" i="2"/>
  <c r="E1117" i="2"/>
  <c r="D1117" i="2"/>
  <c r="G1118" i="2" l="1"/>
  <c r="H1118" i="2"/>
  <c r="I1118" i="2"/>
  <c r="A1119" i="2"/>
  <c r="B1118" i="2"/>
  <c r="C1118" i="2"/>
  <c r="E1118" i="2"/>
  <c r="F1118" i="2"/>
  <c r="J1118" i="2"/>
  <c r="D1118" i="2"/>
  <c r="E1119" i="2" l="1"/>
  <c r="F1119" i="2"/>
  <c r="G1119" i="2"/>
  <c r="B1119" i="2"/>
  <c r="C1119" i="2"/>
  <c r="J1119" i="2"/>
  <c r="D1119" i="2"/>
  <c r="H1119" i="2"/>
  <c r="I1119" i="2"/>
  <c r="A1120" i="2"/>
  <c r="C1120" i="2" l="1"/>
  <c r="A1121" i="2"/>
  <c r="D1120" i="2"/>
  <c r="E1120" i="2"/>
  <c r="B1120" i="2"/>
  <c r="F1120" i="2"/>
  <c r="G1120" i="2"/>
  <c r="I1120" i="2"/>
  <c r="J1120" i="2"/>
  <c r="H1120" i="2"/>
  <c r="I1121" i="2" l="1"/>
  <c r="B1121" i="2"/>
  <c r="J1121" i="2"/>
  <c r="C1121" i="2"/>
  <c r="A1122" i="2"/>
  <c r="F1121" i="2"/>
  <c r="G1121" i="2"/>
  <c r="H1121" i="2"/>
  <c r="D1121" i="2"/>
  <c r="E1121" i="2"/>
  <c r="G1122" i="2" l="1"/>
  <c r="H1122" i="2"/>
  <c r="I1122" i="2"/>
  <c r="J1122" i="2"/>
  <c r="A1123" i="2"/>
  <c r="C1122" i="2"/>
  <c r="F1122" i="2"/>
  <c r="E1122" i="2"/>
  <c r="D1122" i="2"/>
  <c r="B1122" i="2"/>
  <c r="E1123" i="2" l="1"/>
  <c r="F1123" i="2"/>
  <c r="G1123" i="2"/>
  <c r="A1124" i="2"/>
  <c r="B1123" i="2"/>
  <c r="J1123" i="2"/>
  <c r="C1123" i="2"/>
  <c r="D1123" i="2"/>
  <c r="H1123" i="2"/>
  <c r="I1123" i="2"/>
  <c r="C1124" i="2" l="1"/>
  <c r="A1125" i="2"/>
  <c r="D1124" i="2"/>
  <c r="E1124" i="2"/>
  <c r="B1124" i="2"/>
  <c r="F1124" i="2"/>
  <c r="J1124" i="2"/>
  <c r="G1124" i="2"/>
  <c r="H1124" i="2"/>
  <c r="I1124" i="2"/>
  <c r="I1125" i="2" l="1"/>
  <c r="B1125" i="2"/>
  <c r="J1125" i="2"/>
  <c r="C1125" i="2"/>
  <c r="A1126" i="2"/>
  <c r="E1125" i="2"/>
  <c r="F1125" i="2"/>
  <c r="G1125" i="2"/>
  <c r="D1125" i="2"/>
  <c r="H1125" i="2"/>
  <c r="G1126" i="2" l="1"/>
  <c r="H1126" i="2"/>
  <c r="I1126" i="2"/>
  <c r="F1126" i="2"/>
  <c r="J1126" i="2"/>
  <c r="A1127" i="2"/>
  <c r="C1126" i="2"/>
  <c r="B1126" i="2"/>
  <c r="D1126" i="2"/>
  <c r="E1126" i="2"/>
  <c r="E1127" i="2" l="1"/>
  <c r="F1127" i="2"/>
  <c r="G1127" i="2"/>
  <c r="J1127" i="2"/>
  <c r="A1128" i="2"/>
  <c r="H1127" i="2"/>
  <c r="I1127" i="2"/>
  <c r="D1127" i="2"/>
  <c r="C1127" i="2"/>
  <c r="B1127" i="2"/>
  <c r="C1128" i="2" l="1"/>
  <c r="A1129" i="2"/>
  <c r="D1128" i="2"/>
  <c r="E1128" i="2"/>
  <c r="B1128" i="2"/>
  <c r="F1128" i="2"/>
  <c r="G1128" i="2"/>
  <c r="H1128" i="2"/>
  <c r="I1128" i="2"/>
  <c r="J1128" i="2"/>
  <c r="I1129" i="2" l="1"/>
  <c r="B1129" i="2"/>
  <c r="J1129" i="2"/>
  <c r="C1129" i="2"/>
  <c r="A1130" i="2"/>
  <c r="D1129" i="2"/>
  <c r="E1129" i="2"/>
  <c r="F1129" i="2"/>
  <c r="H1129" i="2"/>
  <c r="G1129" i="2"/>
  <c r="G1130" i="2" l="1"/>
  <c r="H1130" i="2"/>
  <c r="I1130" i="2"/>
  <c r="E1130" i="2"/>
  <c r="F1130" i="2"/>
  <c r="J1130" i="2"/>
  <c r="C1130" i="2"/>
  <c r="B1130" i="2"/>
  <c r="D1130" i="2"/>
  <c r="A1131" i="2"/>
  <c r="E1131" i="2" l="1"/>
  <c r="F1131" i="2"/>
  <c r="G1131" i="2"/>
  <c r="I1131" i="2"/>
  <c r="J1131" i="2"/>
  <c r="A1132" i="2"/>
  <c r="H1131" i="2"/>
  <c r="D1131" i="2"/>
  <c r="C1131" i="2"/>
  <c r="B1131" i="2"/>
  <c r="C1132" i="2" l="1"/>
  <c r="A1133" i="2"/>
  <c r="D1132" i="2"/>
  <c r="E1132" i="2"/>
  <c r="J1132" i="2"/>
  <c r="F1132" i="2"/>
  <c r="G1132" i="2"/>
  <c r="H1132" i="2"/>
  <c r="I1132" i="2"/>
  <c r="B1132" i="2"/>
  <c r="I1133" i="2" l="1"/>
  <c r="B1133" i="2"/>
  <c r="J1133" i="2"/>
  <c r="C1133" i="2"/>
  <c r="A1134" i="2"/>
  <c r="D1133" i="2"/>
  <c r="E1133" i="2"/>
  <c r="F1133" i="2"/>
  <c r="G1133" i="2"/>
  <c r="H1133" i="2"/>
  <c r="G1134" i="2" l="1"/>
  <c r="H1134" i="2"/>
  <c r="I1134" i="2"/>
  <c r="D1134" i="2"/>
  <c r="E1134" i="2"/>
  <c r="F1134" i="2"/>
  <c r="C1134" i="2"/>
  <c r="A1135" i="2"/>
  <c r="J1134" i="2"/>
  <c r="B1134" i="2"/>
  <c r="E1135" i="2" l="1"/>
  <c r="F1135" i="2"/>
  <c r="G1135" i="2"/>
  <c r="H1135" i="2"/>
  <c r="I1135" i="2"/>
  <c r="J1135" i="2"/>
  <c r="B1135" i="2"/>
  <c r="C1135" i="2"/>
  <c r="D1135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<sst xmlns="http://schemas.openxmlformats.org/spreadsheetml/2006/main" count="161" uniqueCount="74">
  <si>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</si>
  <si>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</si>
  <si>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</si>
  <si>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</si>
  <si>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</si>
  <si>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</si>
  <si>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</si>
  <si>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</si>
  <si>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</si>
  <si>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</si>
  <si>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</si>
  <si>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</si>
  <si>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</si>
  <si>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</si>
  <si>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</si>
  <si>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</si>
  <si>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</si>
  <si>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</si>
  <si>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</si>
  <si>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</si>
  <si>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</si>
  <si>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</si>
  <si>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</si>
  <si>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</si>
  <si>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</si>
  <si>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August 03, 2015 - MANNY ACOSTA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</si>
  <si>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</si>
  <si>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</si>
  <si>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</si>
  <si>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</si>
  <si>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</si>
  <si>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</si>
  <si>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</si>
  <si>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</si>
  <si>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</si>
  <si>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</si>
  <si>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</si>
  <si>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</si>
  <si>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</si>
  <si>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</si>
  <si>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</si>
  <si>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</si>
  <si>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</si>
  <si>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</si>
  <si>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</si>
  <si>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</si>
  <si>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</si>
  <si>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</si>
  <si>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</si>
  <si>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</si>
  <si>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</si>
  <si>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</si>
  <si>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</si>
  <si>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</si>
  <si>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</si>
  <si>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</si>
  <si>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</si>
  <si>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</si>
  <si>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</si>
  <si>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</si>
  <si>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</si>
  <si>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</si>
  <si>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</si>
  <si>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</si>
  <si>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</si>
  <si>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</si>
  <si>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</si>
  <si>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</si>
  <si>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</si>
  <si>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Attachment No. 43</t>
  </si>
  <si>
    <t>Tab 5 of 5</t>
  </si>
  <si>
    <t>Tab 4 of 5</t>
  </si>
  <si>
    <t>Tab 3 of 5</t>
  </si>
  <si>
    <t>Tab 2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</si>
</sst>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>
      <alignment wrapText="1"/>
    </xf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6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5" fillId="3" borderId="0" xfId="4" applyNumberFormat="1" applyFont="1" applyFill="1" applyAlignment="1">
      <alignment horizontal="center"/>
    </xf>
    <xf numFmtId="167" fontId="5" fillId="4" borderId="0" xfId="4" applyNumberFormat="1" applyFont="1" applyFill="1" applyAlignment="1">
      <alignment horizontal="center"/>
    </xf>
    <xf numFmtId="167" fontId="5" fillId="5" borderId="0" xfId="4" applyNumberFormat="1" applyFont="1" applyFill="1" applyAlignment="1">
      <alignment horizontal="center"/>
    </xf>
    <xf numFmtId="0" fontId="3" fillId="0" borderId="0" xfId="4" applyFont="1" applyAlignment="1">
      <alignment horizontal="center" wrapText="1"/>
    </xf>
    <xf numFmtId="0" fontId="6" fillId="6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6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7" borderId="0" xfId="4" applyNumberFormat="1" applyFont="1" applyFill="1" applyAlignment="1">
      <alignment horizontal="center"/>
    </xf>
    <xf numFmtId="0" fontId="6" fillId="7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8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8" borderId="0" xfId="4" applyNumberFormat="1" applyFont="1" applyFill="1" applyAlignment="1">
      <alignment horizontal="center"/>
    </xf>
    <xf numFmtId="171" fontId="6" fillId="9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9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10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8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3" borderId="0" xfId="3" applyFont="1" applyFill="1" applyAlignment="1">
      <alignment horizontal="center"/>
    </xf>
    <xf numFmtId="0" fontId="12" fillId="13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4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10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7" borderId="0" xfId="4" quotePrefix="1" applyNumberFormat="1" applyFont="1" applyFill="1" applyAlignment="1">
      <alignment horizontal="center"/>
    </xf>
    <xf numFmtId="15" fontId="6" fillId="7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6" borderId="0" xfId="4" quotePrefix="1" applyFont="1" applyFill="1" applyAlignment="1">
      <alignment horizontal="center"/>
    </xf>
    <xf numFmtId="0" fontId="6" fillId="11" borderId="0" xfId="4" quotePrefix="1" applyFont="1" applyFill="1" applyAlignment="1">
      <alignment horizontal="center"/>
    </xf>
    <xf numFmtId="0" fontId="6" fillId="12" borderId="0" xfId="4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9" borderId="0" xfId="4" quotePrefix="1" applyFont="1" applyFill="1" applyAlignment="1">
      <alignment horizontal="center"/>
    </xf>
    <xf numFmtId="0" fontId="6" fillId="9" borderId="0" xfId="4" applyFont="1" applyFill="1" applyAlignment="1">
      <alignment horizontal="center"/>
    </xf>
    <xf numFmtId="0" fontId="6" fillId="11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52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omma 4" xfId="28"/>
    <cellStyle name="Comma 5" xfId="29"/>
    <cellStyle name="Currency" xfId="2" builtinId="4"/>
    <cellStyle name="Normal" xfId="0" builtinId="0"/>
    <cellStyle name="Normal 10" xfId="30"/>
    <cellStyle name="Normal 10 2" xfId="31"/>
    <cellStyle name="Normal 2" xfId="32"/>
    <cellStyle name="Normal 2 2" xfId="33"/>
    <cellStyle name="Normal 2 2 2" xfId="34"/>
    <cellStyle name="Normal 2 3" xfId="35"/>
    <cellStyle name="Normal 2 3 2" xfId="36"/>
    <cellStyle name="Normal 2 4" xfId="37"/>
    <cellStyle name="Normal 2 4 2" xfId="38"/>
    <cellStyle name="Normal 2 5" xfId="39"/>
    <cellStyle name="Normal 2 6" xfId="40"/>
    <cellStyle name="Normal 2 7" xfId="41"/>
    <cellStyle name="Normal 3" xfId="42"/>
    <cellStyle name="Normal 4" xfId="43"/>
    <cellStyle name="Normal 5" xfId="44"/>
    <cellStyle name="Normal 5 2" xfId="45"/>
    <cellStyle name="Normal 6" xfId="46"/>
    <cellStyle name="Normal 6 2" xfId="47"/>
    <cellStyle name="Normal 7" xfId="48"/>
    <cellStyle name="Normal 7 2" xfId="49"/>
    <cellStyle name="Normal 8" xfId="50"/>
    <cellStyle name="Normal 9" xfId="51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2.xml><?xml version="1.0" encoding="utf-8"?>
<formControlPr xmlns="http://schemas.microsoft.com/office/spreadsheetml/2009/9/main" objectType="Drop" dropLines="2" dropStyle="combo" dx="18" fmlaLink="CONTROL!$C$32" fmlaRange="CONTROL!$B$32:$B$33" val="0"/>
</file>

<file path=xl/ctrlProps/ctrlProp3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4.xml><?xml version="1.0" encoding="utf-8"?>
<formControlPr xmlns="http://schemas.microsoft.com/office/spreadsheetml/2009/9/main" objectType="Drop" dropLines="2" dropStyle="combo" dx="18" fmlaLink="CONTROL!$C$28" fmlaRange="CONTROL!$B$28:$B$29" val="0"/>
</file>

<file path=xl/ctrlProps/ctrlProp5.xml><?xml version="1.0" encoding="utf-8"?>
<formControlPr xmlns="http://schemas.microsoft.com/office/spreadsheetml/2009/9/main" objectType="Drop" dropLines="3" dropStyle="combo" dx="18" fmlaLink="CONTROL!$C$22" fmlaRange="CONTROL!$B$22:$B$24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171450</xdr:rowOff>
        </xdr:from>
        <xdr:to>
          <xdr:col>4</xdr:col>
          <xdr:colOff>533400</xdr:colOff>
          <xdr:row>13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171450</xdr:rowOff>
        </xdr:from>
        <xdr:to>
          <xdr:col>6</xdr:col>
          <xdr:colOff>257175</xdr:colOff>
          <xdr:row>13</xdr:row>
          <xdr:rowOff>95250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5.zip\2015\8.%20August\150803%202015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&amp; PET COKE FORECAST"/>
      <sheetName val="COAL - Monthly"/>
      <sheetName val="COAL SO2 &amp; NOX Calculations"/>
      <sheetName val="COAL - Monthly OLD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50"/>
  <sheetViews>
    <sheetView tabSelected="1" zoomScale="70" zoomScaleNormal="70" workbookViewId="0">
      <pane xSplit="1" ySplit="16" topLeftCell="B17" activePane="bottomRight" state="frozen"/>
      <selection sqref="A1:XFD7"/>
      <selection pane="topRight" sqref="A1:XFD7"/>
      <selection pane="bottomLeft" sqref="A1:XFD7"/>
      <selection pane="bottomRight" activeCell="B17" sqref="B17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4" t="s">
        <v>64</v>
      </c>
    </row>
    <row r="2" spans="1:19" ht="15.75">
      <c r="A2" s="84" t="s">
        <v>65</v>
      </c>
    </row>
    <row r="3" spans="1:19" ht="15.75">
      <c r="A3" s="84" t="s">
        <v>66</v>
      </c>
    </row>
    <row r="4" spans="1:19" ht="15.75">
      <c r="A4" s="84" t="s">
        <v>67</v>
      </c>
    </row>
    <row r="5" spans="1:19" ht="15.75">
      <c r="A5" s="84" t="s">
        <v>69</v>
      </c>
    </row>
    <row r="6" spans="1:19" ht="15.75">
      <c r="A6" s="84" t="s">
        <v>68</v>
      </c>
    </row>
    <row r="8" spans="1:19" ht="24.75" customHeight="1">
      <c r="A8" s="31" t="s">
        <v>26</v>
      </c>
    </row>
    <row r="9" spans="1:19" ht="15" customHeight="1">
      <c r="A9" s="30" t="s">
        <v>25</v>
      </c>
    </row>
    <row r="10" spans="1:19" ht="15" customHeight="1">
      <c r="A10" s="1"/>
      <c r="G10" s="29"/>
      <c r="N10" s="28"/>
    </row>
    <row r="11" spans="1:19" ht="15" customHeight="1">
      <c r="C11" s="27" t="s">
        <v>24</v>
      </c>
      <c r="D11" s="26">
        <f>1-0.198</f>
        <v>0.80200000000000005</v>
      </c>
      <c r="E11" s="27" t="s">
        <v>23</v>
      </c>
      <c r="F11" s="26">
        <f>1+0.198</f>
        <v>1.198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5"/>
      <c r="L13" s="85" t="s">
        <v>22</v>
      </c>
      <c r="M13" s="85"/>
      <c r="N13" s="85"/>
      <c r="O13" s="85"/>
      <c r="P13" s="85"/>
      <c r="Q13" s="85"/>
      <c r="R13" s="85"/>
      <c r="S13" s="85"/>
    </row>
    <row r="14" spans="1:19" ht="15" customHeight="1">
      <c r="B14" s="10"/>
      <c r="C14" s="10"/>
      <c r="D14" s="10"/>
      <c r="E14" s="10"/>
      <c r="F14" s="10"/>
      <c r="G14" s="10"/>
      <c r="I14" s="10"/>
      <c r="K14" s="24"/>
      <c r="L14" s="85" t="s">
        <v>21</v>
      </c>
      <c r="M14" s="85"/>
      <c r="N14" s="85"/>
      <c r="O14" s="85"/>
      <c r="P14" s="85"/>
      <c r="Q14" s="85"/>
      <c r="R14" s="85"/>
      <c r="S14" s="85"/>
    </row>
    <row r="15" spans="1:19" s="18" customFormat="1" ht="112.5" customHeight="1">
      <c r="B15" s="21" t="s">
        <v>20</v>
      </c>
      <c r="C15" s="21" t="s">
        <v>19</v>
      </c>
      <c r="D15" s="21" t="s">
        <v>18</v>
      </c>
      <c r="E15" s="21" t="s">
        <v>17</v>
      </c>
      <c r="F15" s="20" t="s">
        <v>16</v>
      </c>
      <c r="G15" s="21" t="s">
        <v>15</v>
      </c>
      <c r="H15" s="20" t="s">
        <v>14</v>
      </c>
      <c r="I15" s="21" t="s">
        <v>13</v>
      </c>
      <c r="J15" s="20" t="s">
        <v>12</v>
      </c>
      <c r="K15" s="23" t="s">
        <v>11</v>
      </c>
      <c r="L15" s="19" t="s">
        <v>10</v>
      </c>
      <c r="M15" s="19" t="s">
        <v>9</v>
      </c>
      <c r="N15" s="19" t="s">
        <v>8</v>
      </c>
      <c r="O15" s="19" t="s">
        <v>7</v>
      </c>
      <c r="P15" s="19" t="s">
        <v>6</v>
      </c>
      <c r="Q15" s="19" t="s">
        <v>5</v>
      </c>
      <c r="R15" s="19" t="s">
        <v>4</v>
      </c>
      <c r="S15" s="22" t="s">
        <v>3</v>
      </c>
    </row>
    <row r="16" spans="1:19" s="18" customFormat="1" ht="15" customHeight="1">
      <c r="A16" s="20" t="s">
        <v>2</v>
      </c>
      <c r="B16" s="21" t="s">
        <v>1</v>
      </c>
      <c r="C16" s="21" t="s">
        <v>1</v>
      </c>
      <c r="D16" s="21" t="s">
        <v>1</v>
      </c>
      <c r="E16" s="21" t="s">
        <v>1</v>
      </c>
      <c r="F16" s="20" t="s">
        <v>1</v>
      </c>
      <c r="G16" s="21" t="s">
        <v>1</v>
      </c>
      <c r="H16" s="20" t="s">
        <v>1</v>
      </c>
      <c r="I16" s="21" t="s">
        <v>1</v>
      </c>
      <c r="J16" s="20" t="s">
        <v>1</v>
      </c>
      <c r="K16" s="20" t="s">
        <v>1</v>
      </c>
      <c r="L16" s="19" t="s">
        <v>0</v>
      </c>
      <c r="M16" s="19" t="s">
        <v>0</v>
      </c>
      <c r="N16" s="19" t="s">
        <v>0</v>
      </c>
      <c r="O16" s="19" t="s">
        <v>0</v>
      </c>
      <c r="P16" s="19" t="s">
        <v>0</v>
      </c>
      <c r="Q16" s="19" t="s">
        <v>0</v>
      </c>
      <c r="R16" s="19" t="s">
        <v>0</v>
      </c>
      <c r="S16" s="19" t="s">
        <v>0</v>
      </c>
    </row>
    <row r="17" spans="1:19" ht="15" customHeight="1">
      <c r="A17" s="13">
        <v>42005</v>
      </c>
      <c r="B17" s="8">
        <f>3.3498 * CHOOSE(CONTROL!$C$15, $D$11, 100%, $F$11)</f>
        <v>3.3498000000000001</v>
      </c>
      <c r="C17" s="8">
        <f>3.355 * CHOOSE(CONTROL!$C$15, $D$11, 100%, $F$11)</f>
        <v>3.355</v>
      </c>
      <c r="D17" s="8">
        <f>3.3504 * CHOOSE( CONTROL!$C$15, $D$11, 100%, $F$11)</f>
        <v>3.3504</v>
      </c>
      <c r="E17" s="12">
        <f>3.3515 * CHOOSE( CONTROL!$C$15, $D$11, 100%, $F$11)</f>
        <v>3.3515000000000001</v>
      </c>
      <c r="F17" s="4">
        <f>3.9925 * CHOOSE(CONTROL!$C$15, $D$11, 100%, $F$11)</f>
        <v>3.9925000000000002</v>
      </c>
      <c r="G17" s="8">
        <f>3.2635 * CHOOSE( CONTROL!$C$15, $D$11, 100%, $F$11)</f>
        <v>3.2635000000000001</v>
      </c>
      <c r="H17" s="4">
        <f>4.1342 * CHOOSE(CONTROL!$C$15, $D$11, 100%, $F$11)</f>
        <v>4.1341999999999999</v>
      </c>
      <c r="I17" s="8">
        <f>3.3042 * CHOOSE(CONTROL!$C$15, $D$11, 100%, $F$11)</f>
        <v>3.3041999999999998</v>
      </c>
      <c r="J17" s="4">
        <f>3.189 * CHOOSE(CONTROL!$C$15, $D$11, 100%, $F$11)</f>
        <v>3.1890000000000001</v>
      </c>
      <c r="K17" s="4">
        <f>3.2683 * CHOOSE(CONTROL!$C$15, $D$11, 100%, $F$11)</f>
        <v>3.2683</v>
      </c>
      <c r="L17" s="9">
        <v>28.872</v>
      </c>
      <c r="M17" s="9">
        <v>12.063700000000001</v>
      </c>
      <c r="N17" s="9">
        <v>4.9444999999999997</v>
      </c>
      <c r="O17" s="9">
        <v>0.61570000000000003</v>
      </c>
      <c r="P17" s="9">
        <v>0</v>
      </c>
      <c r="Q17" s="9"/>
      <c r="R17" s="9">
        <f t="shared" ref="R17:R28" si="0">(0.12*2500000)/1000000</f>
        <v>0.3</v>
      </c>
      <c r="S17" s="17">
        <v>1.0592999999999999</v>
      </c>
    </row>
    <row r="18" spans="1:19" ht="15" customHeight="1">
      <c r="A18" s="13">
        <v>42036</v>
      </c>
      <c r="B18" s="8">
        <f>3.0134 * CHOOSE(CONTROL!$C$15, $D$11, 100%, $F$11)</f>
        <v>3.0133999999999999</v>
      </c>
      <c r="C18" s="8">
        <f>3.0186 * CHOOSE(CONTROL!$C$15, $D$11, 100%, $F$11)</f>
        <v>3.0186000000000002</v>
      </c>
      <c r="D18" s="8">
        <f>3.016 * CHOOSE( CONTROL!$C$15, $D$11, 100%, $F$11)</f>
        <v>3.016</v>
      </c>
      <c r="E18" s="12">
        <f>3.0164 * CHOOSE( CONTROL!$C$15, $D$11, 100%, $F$11)</f>
        <v>3.0164</v>
      </c>
      <c r="F18" s="4">
        <f>3.6639 * CHOOSE(CONTROL!$C$15, $D$11, 100%, $F$11)</f>
        <v>3.6638999999999999</v>
      </c>
      <c r="G18" s="8">
        <f>2.937 * CHOOSE( CONTROL!$C$15, $D$11, 100%, $F$11)</f>
        <v>2.9369999999999998</v>
      </c>
      <c r="H18" s="4">
        <f>3.8133 * CHOOSE(CONTROL!$C$15, $D$11, 100%, $F$11)</f>
        <v>3.8132999999999999</v>
      </c>
      <c r="I18" s="8">
        <f>2.982 * CHOOSE(CONTROL!$C$15, $D$11, 100%, $F$11)</f>
        <v>2.9820000000000002</v>
      </c>
      <c r="J18" s="4">
        <f>2.866 * CHOOSE(CONTROL!$C$15, $D$11, 100%, $F$11)</f>
        <v>2.8660000000000001</v>
      </c>
      <c r="K18" s="4">
        <f>2.9392 * CHOOSE(CONTROL!$C$15, $D$11, 100%, $F$11)</f>
        <v>2.9392</v>
      </c>
      <c r="L18" s="9">
        <v>26.0779</v>
      </c>
      <c r="M18" s="9">
        <v>10.8962</v>
      </c>
      <c r="N18" s="9">
        <v>4.4660000000000002</v>
      </c>
      <c r="O18" s="9">
        <v>0.55610000000000004</v>
      </c>
      <c r="P18" s="9">
        <v>0</v>
      </c>
      <c r="Q18" s="9"/>
      <c r="R18" s="9">
        <f t="shared" si="0"/>
        <v>0.3</v>
      </c>
      <c r="S18" s="17">
        <v>1.0592999999999999</v>
      </c>
    </row>
    <row r="19" spans="1:19" ht="15" customHeight="1">
      <c r="A19" s="13">
        <v>42064</v>
      </c>
      <c r="B19" s="8">
        <f>3.0426 * CHOOSE(CONTROL!$C$15, $D$11, 100%, $F$11)</f>
        <v>3.0426000000000002</v>
      </c>
      <c r="C19" s="8">
        <f>3.0478 * CHOOSE(CONTROL!$C$15, $D$11, 100%, $F$11)</f>
        <v>3.0478000000000001</v>
      </c>
      <c r="D19" s="8">
        <f>3.0558 * CHOOSE( CONTROL!$C$15, $D$11, 100%, $F$11)</f>
        <v>3.0558000000000001</v>
      </c>
      <c r="E19" s="12">
        <f>3.0523 * CHOOSE( CONTROL!$C$15, $D$11, 100%, $F$11)</f>
        <v>3.0522999999999998</v>
      </c>
      <c r="F19" s="4">
        <f>3.7035 * CHOOSE(CONTROL!$C$15, $D$11, 100%, $F$11)</f>
        <v>3.7035</v>
      </c>
      <c r="G19" s="8">
        <f>2.9756 * CHOOSE( CONTROL!$C$15, $D$11, 100%, $F$11)</f>
        <v>2.9756</v>
      </c>
      <c r="H19" s="4">
        <f>3.8519 * CHOOSE(CONTROL!$C$15, $D$11, 100%, $F$11)</f>
        <v>3.8519000000000001</v>
      </c>
      <c r="I19" s="8">
        <f>2.9903 * CHOOSE(CONTROL!$C$15, $D$11, 100%, $F$11)</f>
        <v>2.9903</v>
      </c>
      <c r="J19" s="4">
        <f>2.894 * CHOOSE(CONTROL!$C$15, $D$11, 100%, $F$11)</f>
        <v>2.8940000000000001</v>
      </c>
      <c r="K19" s="4">
        <f>2.974 * CHOOSE(CONTROL!$C$15, $D$11, 100%, $F$11)</f>
        <v>2.9740000000000002</v>
      </c>
      <c r="L19" s="9">
        <v>28.872</v>
      </c>
      <c r="M19" s="9">
        <v>12.063700000000001</v>
      </c>
      <c r="N19" s="9">
        <v>4.9444999999999997</v>
      </c>
      <c r="O19" s="9">
        <v>0.61570000000000003</v>
      </c>
      <c r="P19" s="9">
        <v>0</v>
      </c>
      <c r="Q19" s="9"/>
      <c r="R19" s="9">
        <f t="shared" si="0"/>
        <v>0.3</v>
      </c>
      <c r="S19" s="17">
        <v>1.0592999999999999</v>
      </c>
    </row>
    <row r="20" spans="1:19" ht="15" customHeight="1">
      <c r="A20" s="13">
        <v>42095</v>
      </c>
      <c r="B20" s="8">
        <f>2.7267 * CHOOSE(CONTROL!$C$15, $D$11, 100%, $F$11)</f>
        <v>2.7267000000000001</v>
      </c>
      <c r="C20" s="8">
        <f>2.7313 * CHOOSE(CONTROL!$C$15, $D$11, 100%, $F$11)</f>
        <v>2.7313000000000001</v>
      </c>
      <c r="D20" s="8">
        <f>2.7099 * CHOOSE( CONTROL!$C$15, $D$11, 100%, $F$11)</f>
        <v>2.7099000000000002</v>
      </c>
      <c r="E20" s="12">
        <f>2.7164 * CHOOSE( CONTROL!$C$15, $D$11, 100%, $F$11)</f>
        <v>2.7164000000000001</v>
      </c>
      <c r="F20" s="4">
        <f>3.3868 * CHOOSE(CONTROL!$C$15, $D$11, 100%, $F$11)</f>
        <v>3.3868</v>
      </c>
      <c r="G20" s="8">
        <f>2.6312 * CHOOSE( CONTROL!$C$15, $D$11, 100%, $F$11)</f>
        <v>2.6312000000000002</v>
      </c>
      <c r="H20" s="4">
        <f>3.5427 * CHOOSE(CONTROL!$C$15, $D$11, 100%, $F$11)</f>
        <v>3.5427</v>
      </c>
      <c r="I20" s="8">
        <f>2.6501 * CHOOSE(CONTROL!$C$15, $D$11, 100%, $F$11)</f>
        <v>2.6501000000000001</v>
      </c>
      <c r="J20" s="4">
        <f>2.59 * CHOOSE(CONTROL!$C$15, $D$11, 100%, $F$11)</f>
        <v>2.59</v>
      </c>
      <c r="K20" s="4">
        <f>2.6424 * CHOOSE(CONTROL!$C$15, $D$11, 100%, $F$11)</f>
        <v>2.6423999999999999</v>
      </c>
      <c r="L20" s="9">
        <v>30.092199999999998</v>
      </c>
      <c r="M20" s="9">
        <v>11.6745</v>
      </c>
      <c r="N20" s="9">
        <v>4.7850000000000001</v>
      </c>
      <c r="O20" s="9">
        <v>0.59589999999999999</v>
      </c>
      <c r="P20" s="9">
        <v>2.0339999999999998</v>
      </c>
      <c r="Q20" s="9"/>
      <c r="R20" s="9">
        <f t="shared" si="0"/>
        <v>0.3</v>
      </c>
      <c r="S20" s="17">
        <v>1.0592999999999999</v>
      </c>
    </row>
    <row r="21" spans="1:19" ht="15" customHeight="1">
      <c r="A21" s="13">
        <v>42125</v>
      </c>
      <c r="B21" s="8">
        <f>CHOOSE( CONTROL!$C$32, 2.6576, 2.652) * CHOOSE(CONTROL!$C$15, $D$11, 100%, $F$11)</f>
        <v>2.6576</v>
      </c>
      <c r="C21" s="8">
        <f>CHOOSE( CONTROL!$C$32, 2.6657, 2.6601) * CHOOSE(CONTROL!$C$15, $D$11, 100%, $F$11)</f>
        <v>2.6657000000000002</v>
      </c>
      <c r="D21" s="8">
        <f>CHOOSE( CONTROL!$C$32, 2.6479, 2.6424) * CHOOSE( CONTROL!$C$15, $D$11, 100%, $F$11)</f>
        <v>2.6478999999999999</v>
      </c>
      <c r="E21" s="12">
        <f>CHOOSE( CONTROL!$C$32, 2.6527, 2.6472) * CHOOSE( CONTROL!$C$15, $D$11, 100%, $F$11)</f>
        <v>2.6526999999999998</v>
      </c>
      <c r="F21" s="4">
        <f>CHOOSE( CONTROL!$C$32, 3.3242, 3.3186) * CHOOSE(CONTROL!$C$15, $D$11, 100%, $F$11)</f>
        <v>3.3241999999999998</v>
      </c>
      <c r="G21" s="8">
        <f>CHOOSE( CONTROL!$C$32, 2.5671, 2.5617) * CHOOSE( CONTROL!$C$15, $D$11, 100%, $F$11)</f>
        <v>2.5670999999999999</v>
      </c>
      <c r="H21" s="4">
        <f>CHOOSE( CONTROL!$C$32, 3.4815, 3.4761) * CHOOSE(CONTROL!$C$15, $D$11, 100%, $F$11)</f>
        <v>3.4815</v>
      </c>
      <c r="I21" s="8">
        <f>CHOOSE( CONTROL!$C$32, 2.5906, 2.5852) * CHOOSE(CONTROL!$C$15, $D$11, 100%, $F$11)</f>
        <v>2.5905999999999998</v>
      </c>
      <c r="J21" s="4">
        <f>CHOOSE( CONTROL!$C$32, 2.5223, 2.517) * CHOOSE(CONTROL!$C$15, $D$11, 100%, $F$11)</f>
        <v>2.5223</v>
      </c>
      <c r="K21" s="4">
        <f>CHOOSE( CONTROL!$C$32, 2.5757, 2.5702) * CHOOSE(CONTROL!$C$15, $D$11, 100%, $F$11)</f>
        <v>2.5756999999999999</v>
      </c>
      <c r="L21" s="9">
        <v>33.7545</v>
      </c>
      <c r="M21" s="9">
        <v>12.063700000000001</v>
      </c>
      <c r="N21" s="9">
        <v>4.9444999999999997</v>
      </c>
      <c r="O21" s="9">
        <v>0.61570000000000003</v>
      </c>
      <c r="P21" s="9">
        <v>1.4925999999999999</v>
      </c>
      <c r="Q21" s="9"/>
      <c r="R21" s="9">
        <f t="shared" si="0"/>
        <v>0.3</v>
      </c>
      <c r="S21" s="17">
        <v>1.0592999999999999</v>
      </c>
    </row>
    <row r="22" spans="1:19" ht="15" customHeight="1">
      <c r="A22" s="13">
        <v>42156</v>
      </c>
      <c r="B22" s="8">
        <f>CHOOSE( CONTROL!$C$32, 2.968, 2.9624) * CHOOSE(CONTROL!$C$15, $D$11, 100%, $F$11)</f>
        <v>2.968</v>
      </c>
      <c r="C22" s="8">
        <f>CHOOSE( CONTROL!$C$32, 2.9761, 2.9705) * CHOOSE(CONTROL!$C$15, $D$11, 100%, $F$11)</f>
        <v>2.9761000000000002</v>
      </c>
      <c r="D22" s="8">
        <f>CHOOSE( CONTROL!$C$32, 2.9731, 2.9675) * CHOOSE( CONTROL!$C$15, $D$11, 100%, $F$11)</f>
        <v>2.9731000000000001</v>
      </c>
      <c r="E22" s="12">
        <f>CHOOSE( CONTROL!$C$32, 2.973, 2.9674) * CHOOSE( CONTROL!$C$15, $D$11, 100%, $F$11)</f>
        <v>2.9729999999999999</v>
      </c>
      <c r="F22" s="4">
        <f>CHOOSE( CONTROL!$C$32, 3.6554, 3.6498) * CHOOSE(CONTROL!$C$15, $D$11, 100%, $F$11)</f>
        <v>3.6554000000000002</v>
      </c>
      <c r="G22" s="8">
        <f>CHOOSE( CONTROL!$C$32, 2.8839, 2.8785) * CHOOSE( CONTROL!$C$15, $D$11, 100%, $F$11)</f>
        <v>2.8839000000000001</v>
      </c>
      <c r="H22" s="4">
        <f>CHOOSE( CONTROL!$C$32, 3.805, 3.7996) * CHOOSE(CONTROL!$C$15, $D$11, 100%, $F$11)</f>
        <v>3.8050000000000002</v>
      </c>
      <c r="I22" s="8">
        <f>CHOOSE( CONTROL!$C$32, 2.9133, 2.9079) * CHOOSE(CONTROL!$C$15, $D$11, 100%, $F$11)</f>
        <v>2.9133</v>
      </c>
      <c r="J22" s="4">
        <f>CHOOSE( CONTROL!$C$32, 2.8203, 2.815) * CHOOSE(CONTROL!$C$15, $D$11, 100%, $F$11)</f>
        <v>2.8203</v>
      </c>
      <c r="K22" s="4">
        <f>CHOOSE( CONTROL!$C$32, 2.8868, 2.8814) * CHOOSE(CONTROL!$C$15, $D$11, 100%, $F$11)</f>
        <v>2.8868</v>
      </c>
      <c r="L22" s="9">
        <v>32.665700000000001</v>
      </c>
      <c r="M22" s="9">
        <v>11.6745</v>
      </c>
      <c r="N22" s="9">
        <v>4.7850000000000001</v>
      </c>
      <c r="O22" s="9">
        <v>0.59589999999999999</v>
      </c>
      <c r="P22" s="9">
        <v>1.4443999999999999</v>
      </c>
      <c r="Q22" s="9"/>
      <c r="R22" s="9">
        <f t="shared" si="0"/>
        <v>0.3</v>
      </c>
      <c r="S22" s="16">
        <v>1.0722</v>
      </c>
    </row>
    <row r="23" spans="1:19" ht="15" customHeight="1">
      <c r="A23" s="13">
        <v>42186</v>
      </c>
      <c r="B23" s="8">
        <f>CHOOSE( CONTROL!$C$32, 2.9242, 2.9187) * CHOOSE(CONTROL!$C$15, $D$11, 100%, $F$11)</f>
        <v>2.9241999999999999</v>
      </c>
      <c r="C23" s="8">
        <f>CHOOSE( CONTROL!$C$32, 2.9323, 2.9268) * CHOOSE(CONTROL!$C$15, $D$11, 100%, $F$11)</f>
        <v>2.9323000000000001</v>
      </c>
      <c r="D23" s="8">
        <f>CHOOSE( CONTROL!$C$32, 2.9345, 2.9289) * CHOOSE( CONTROL!$C$15, $D$11, 100%, $F$11)</f>
        <v>2.9344999999999999</v>
      </c>
      <c r="E23" s="12">
        <f>CHOOSE( CONTROL!$C$32, 2.9326, 2.927) * CHOOSE( CONTROL!$C$15, $D$11, 100%, $F$11)</f>
        <v>2.9325999999999999</v>
      </c>
      <c r="F23" s="4">
        <f>CHOOSE( CONTROL!$C$32, 3.6168, 3.6113) * CHOOSE(CONTROL!$C$15, $D$11, 100%, $F$11)</f>
        <v>3.6168</v>
      </c>
      <c r="G23" s="8">
        <f>CHOOSE( CONTROL!$C$32, 2.8466, 2.8412) * CHOOSE( CONTROL!$C$15, $D$11, 100%, $F$11)</f>
        <v>2.8466</v>
      </c>
      <c r="H23" s="4">
        <f>CHOOSE( CONTROL!$C$32, 3.7674, 3.7619) * CHOOSE(CONTROL!$C$15, $D$11, 100%, $F$11)</f>
        <v>3.7673999999999999</v>
      </c>
      <c r="I23" s="8">
        <f>CHOOSE( CONTROL!$C$32, 2.8906, 2.8853) * CHOOSE(CONTROL!$C$15, $D$11, 100%, $F$11)</f>
        <v>2.8906000000000001</v>
      </c>
      <c r="J23" s="4">
        <f>CHOOSE( CONTROL!$C$32, 2.7783, 2.773) * CHOOSE(CONTROL!$C$15, $D$11, 100%, $F$11)</f>
        <v>2.7783000000000002</v>
      </c>
      <c r="K23" s="4">
        <f>CHOOSE( CONTROL!$C$32, 2.8479, 2.8425) * CHOOSE(CONTROL!$C$15, $D$11, 100%, $F$11)</f>
        <v>2.8479000000000001</v>
      </c>
      <c r="L23" s="9">
        <v>33.7545</v>
      </c>
      <c r="M23" s="9">
        <v>12.063700000000001</v>
      </c>
      <c r="N23" s="9">
        <v>4.9444999999999997</v>
      </c>
      <c r="O23" s="9">
        <v>0.61570000000000003</v>
      </c>
      <c r="P23" s="9">
        <v>1.4925999999999999</v>
      </c>
      <c r="Q23" s="9"/>
      <c r="R23" s="9">
        <f t="shared" si="0"/>
        <v>0.3</v>
      </c>
      <c r="S23" s="15">
        <v>1.0738000000000001</v>
      </c>
    </row>
    <row r="24" spans="1:19" ht="15" customHeight="1">
      <c r="A24" s="13">
        <v>42217</v>
      </c>
      <c r="B24" s="8">
        <f>CHOOSE( CONTROL!$C$32, 3.0419, 3.0364) * CHOOSE(CONTROL!$C$15, $D$11, 100%, $F$11)</f>
        <v>3.0419</v>
      </c>
      <c r="C24" s="8">
        <f>CHOOSE( CONTROL!$C$32, 3.05, 3.0445) * CHOOSE(CONTROL!$C$15, $D$11, 100%, $F$11)</f>
        <v>3.05</v>
      </c>
      <c r="D24" s="8">
        <f>CHOOSE( CONTROL!$C$32, 3.051, 3.0454) * CHOOSE( CONTROL!$C$15, $D$11, 100%, $F$11)</f>
        <v>3.0510000000000002</v>
      </c>
      <c r="E24" s="12">
        <f>CHOOSE( CONTROL!$C$32, 3.0495, 3.044) * CHOOSE( CONTROL!$C$15, $D$11, 100%, $F$11)</f>
        <v>3.0495000000000001</v>
      </c>
      <c r="F24" s="4">
        <f>CHOOSE( CONTROL!$C$32, 3.7148, 3.7092) * CHOOSE(CONTROL!$C$15, $D$11, 100%, $F$11)</f>
        <v>3.7147999999999999</v>
      </c>
      <c r="G24" s="8">
        <f>CHOOSE( CONTROL!$C$32, 2.9627, 2.9572) * CHOOSE( CONTROL!$C$15, $D$11, 100%, $F$11)</f>
        <v>2.9626999999999999</v>
      </c>
      <c r="H24" s="4">
        <f>CHOOSE( CONTROL!$C$32, 3.863, 3.8575) * CHOOSE(CONTROL!$C$15, $D$11, 100%, $F$11)</f>
        <v>3.863</v>
      </c>
      <c r="I24" s="8">
        <f>CHOOSE( CONTROL!$C$32, 2.9966, 2.9913) * CHOOSE(CONTROL!$C$15, $D$11, 100%, $F$11)</f>
        <v>2.9965999999999999</v>
      </c>
      <c r="J24" s="4">
        <f>CHOOSE( CONTROL!$C$32, 2.8913, 2.886) * CHOOSE(CONTROL!$C$15, $D$11, 100%, $F$11)</f>
        <v>2.8913000000000002</v>
      </c>
      <c r="K24" s="4">
        <f>CHOOSE( CONTROL!$C$32, 2.9559, 2.9505) * CHOOSE(CONTROL!$C$15, $D$11, 100%, $F$11)</f>
        <v>2.9559000000000002</v>
      </c>
      <c r="L24" s="9">
        <v>33.7545</v>
      </c>
      <c r="M24" s="9">
        <v>12.063700000000001</v>
      </c>
      <c r="N24" s="9">
        <v>4.9444999999999997</v>
      </c>
      <c r="O24" s="9">
        <v>0.61570000000000003</v>
      </c>
      <c r="P24" s="9">
        <v>1.4925999999999999</v>
      </c>
      <c r="Q24" s="9"/>
      <c r="R24" s="9">
        <f t="shared" si="0"/>
        <v>0.3</v>
      </c>
      <c r="S24" s="15">
        <v>1.0738000000000001</v>
      </c>
    </row>
    <row r="25" spans="1:19" ht="15" customHeight="1">
      <c r="A25" s="13">
        <v>42248</v>
      </c>
      <c r="B25" s="8">
        <f>CHOOSE( CONTROL!$C$32, 2.8982, 2.8926) * CHOOSE(CONTROL!$C$15, $D$11, 100%, $F$11)</f>
        <v>2.8982000000000001</v>
      </c>
      <c r="C25" s="8">
        <f>CHOOSE( CONTROL!$C$32, 2.9063, 2.9007) * CHOOSE(CONTROL!$C$15, $D$11, 100%, $F$11)</f>
        <v>2.9062999999999999</v>
      </c>
      <c r="D25" s="8">
        <f>CHOOSE( CONTROL!$C$32, 2.8924, 2.8868) * CHOOSE( CONTROL!$C$15, $D$11, 100%, $F$11)</f>
        <v>2.8923999999999999</v>
      </c>
      <c r="E25" s="12">
        <f>CHOOSE( CONTROL!$C$32, 2.8959, 2.8903) * CHOOSE( CONTROL!$C$15, $D$11, 100%, $F$11)</f>
        <v>2.8959000000000001</v>
      </c>
      <c r="F25" s="4">
        <f>CHOOSE( CONTROL!$C$32, 3.5622, 3.5566) * CHOOSE(CONTROL!$C$15, $D$11, 100%, $F$11)</f>
        <v>3.5621999999999998</v>
      </c>
      <c r="G25" s="8">
        <f>CHOOSE( CONTROL!$C$32, 2.8068, 2.8014) * CHOOSE( CONTROL!$C$15, $D$11, 100%, $F$11)</f>
        <v>2.8068</v>
      </c>
      <c r="H25" s="4">
        <f>CHOOSE( CONTROL!$C$32, 3.7139, 3.7085) * CHOOSE(CONTROL!$C$15, $D$11, 100%, $F$11)</f>
        <v>3.7139000000000002</v>
      </c>
      <c r="I25" s="8">
        <f>CHOOSE( CONTROL!$C$32, 2.8361, 2.8307) * CHOOSE(CONTROL!$C$15, $D$11, 100%, $F$11)</f>
        <v>2.8361000000000001</v>
      </c>
      <c r="J25" s="4">
        <f>CHOOSE( CONTROL!$C$32, 2.7533, 2.748) * CHOOSE(CONTROL!$C$15, $D$11, 100%, $F$11)</f>
        <v>2.7532999999999999</v>
      </c>
      <c r="K25" s="4">
        <f>CHOOSE( CONTROL!$C$32, 2.8096, 2.8041) * CHOOSE(CONTROL!$C$15, $D$11, 100%, $F$11)</f>
        <v>2.8096000000000001</v>
      </c>
      <c r="L25" s="9">
        <v>32.665700000000001</v>
      </c>
      <c r="M25" s="9">
        <v>11.6745</v>
      </c>
      <c r="N25" s="9">
        <v>4.7850000000000001</v>
      </c>
      <c r="O25" s="9">
        <v>0.59589999999999999</v>
      </c>
      <c r="P25" s="9">
        <v>1.4443999999999999</v>
      </c>
      <c r="Q25" s="9"/>
      <c r="R25" s="9">
        <f t="shared" si="0"/>
        <v>0.3</v>
      </c>
      <c r="S25" s="15">
        <v>1.0738000000000001</v>
      </c>
    </row>
    <row r="26" spans="1:19" ht="15" customHeight="1">
      <c r="A26" s="13">
        <v>42278</v>
      </c>
      <c r="B26" s="8">
        <f>2.9211 * CHOOSE(CONTROL!$C$15, $D$11, 100%, $F$11)</f>
        <v>2.9211</v>
      </c>
      <c r="C26" s="8">
        <f>2.9266 * CHOOSE(CONTROL!$C$15, $D$11, 100%, $F$11)</f>
        <v>2.9266000000000001</v>
      </c>
      <c r="D26" s="8">
        <f>2.9102 * CHOOSE( CONTROL!$C$15, $D$11, 100%, $F$11)</f>
        <v>2.9102000000000001</v>
      </c>
      <c r="E26" s="12">
        <f>2.915 * CHOOSE( CONTROL!$C$15, $D$11, 100%, $F$11)</f>
        <v>2.915</v>
      </c>
      <c r="F26" s="4">
        <f>3.5816 * CHOOSE(CONTROL!$C$15, $D$11, 100%, $F$11)</f>
        <v>3.5815999999999999</v>
      </c>
      <c r="G26" s="8">
        <f>2.8272 * CHOOSE( CONTROL!$C$15, $D$11, 100%, $F$11)</f>
        <v>2.8271999999999999</v>
      </c>
      <c r="H26" s="4">
        <f>3.7329 * CHOOSE(CONTROL!$C$15, $D$11, 100%, $F$11)</f>
        <v>3.7328999999999999</v>
      </c>
      <c r="I26" s="8">
        <f>2.8606 * CHOOSE(CONTROL!$C$15, $D$11, 100%, $F$11)</f>
        <v>2.8605999999999998</v>
      </c>
      <c r="J26" s="4">
        <f>2.777 * CHOOSE(CONTROL!$C$15, $D$11, 100%, $F$11)</f>
        <v>2.7770000000000001</v>
      </c>
      <c r="K26" s="4">
        <f>2.8287 * CHOOSE(CONTROL!$C$15, $D$11, 100%, $F$11)</f>
        <v>2.8287</v>
      </c>
      <c r="L26" s="9">
        <v>31.095300000000002</v>
      </c>
      <c r="M26" s="9">
        <v>12.063700000000001</v>
      </c>
      <c r="N26" s="9">
        <v>4.9444999999999997</v>
      </c>
      <c r="O26" s="9">
        <v>0.61570000000000003</v>
      </c>
      <c r="P26" s="9">
        <v>2.1017999999999999</v>
      </c>
      <c r="Q26" s="9"/>
      <c r="R26" s="9">
        <f t="shared" si="0"/>
        <v>0.3</v>
      </c>
      <c r="S26" s="15">
        <v>1.0738000000000001</v>
      </c>
    </row>
    <row r="27" spans="1:19" ht="15" customHeight="1">
      <c r="A27" s="13">
        <v>42309</v>
      </c>
      <c r="B27" s="8">
        <f>3.0363 * CHOOSE(CONTROL!$C$15, $D$11, 100%, $F$11)</f>
        <v>3.0363000000000002</v>
      </c>
      <c r="C27" s="8">
        <f>3.0415 * CHOOSE(CONTROL!$C$15, $D$11, 100%, $F$11)</f>
        <v>3.0415000000000001</v>
      </c>
      <c r="D27" s="8">
        <f>3.0206 * CHOOSE( CONTROL!$C$15, $D$11, 100%, $F$11)</f>
        <v>3.0206</v>
      </c>
      <c r="E27" s="12">
        <f>3.0277 * CHOOSE( CONTROL!$C$15, $D$11, 100%, $F$11)</f>
        <v>3.0276999999999998</v>
      </c>
      <c r="F27" s="4">
        <f>3.6868 * CHOOSE(CONTROL!$C$15, $D$11, 100%, $F$11)</f>
        <v>3.6867999999999999</v>
      </c>
      <c r="G27" s="8">
        <f>2.9505 * CHOOSE( CONTROL!$C$15, $D$11, 100%, $F$11)</f>
        <v>2.9504999999999999</v>
      </c>
      <c r="H27" s="4">
        <f>3.8357 * CHOOSE(CONTROL!$C$15, $D$11, 100%, $F$11)</f>
        <v>3.8357000000000001</v>
      </c>
      <c r="I27" s="8">
        <f>3.0047 * CHOOSE(CONTROL!$C$15, $D$11, 100%, $F$11)</f>
        <v>3.0047000000000001</v>
      </c>
      <c r="J27" s="4">
        <f>2.888 * CHOOSE(CONTROL!$C$15, $D$11, 100%, $F$11)</f>
        <v>2.8879999999999999</v>
      </c>
      <c r="K27" s="4">
        <f>2.9627 * CHOOSE(CONTROL!$C$15, $D$11, 100%, $F$11)</f>
        <v>2.9626999999999999</v>
      </c>
      <c r="L27" s="9">
        <v>28.360600000000002</v>
      </c>
      <c r="M27" s="9">
        <v>11.6745</v>
      </c>
      <c r="N27" s="9">
        <v>4.7850000000000001</v>
      </c>
      <c r="O27" s="9">
        <v>0.59589999999999999</v>
      </c>
      <c r="P27" s="9">
        <v>1.2509999999999999</v>
      </c>
      <c r="Q27" s="9"/>
      <c r="R27" s="9">
        <f t="shared" si="0"/>
        <v>0.3</v>
      </c>
      <c r="S27" s="15">
        <v>1.0738000000000001</v>
      </c>
    </row>
    <row r="28" spans="1:19" ht="15" customHeight="1">
      <c r="A28" s="13">
        <v>42339</v>
      </c>
      <c r="B28" s="8">
        <f>3.2092 * CHOOSE(CONTROL!$C$15, $D$11, 100%, $F$11)</f>
        <v>3.2092000000000001</v>
      </c>
      <c r="C28" s="8">
        <f>3.2144 * CHOOSE(CONTROL!$C$15, $D$11, 100%, $F$11)</f>
        <v>3.2143999999999999</v>
      </c>
      <c r="D28" s="8">
        <f>3.1951 * CHOOSE( CONTROL!$C$15, $D$11, 100%, $F$11)</f>
        <v>3.1951000000000001</v>
      </c>
      <c r="E28" s="12">
        <f>3.2016 * CHOOSE( CONTROL!$C$15, $D$11, 100%, $F$11)</f>
        <v>3.2016</v>
      </c>
      <c r="F28" s="4">
        <f>3.8597 * CHOOSE(CONTROL!$C$15, $D$11, 100%, $F$11)</f>
        <v>3.8597000000000001</v>
      </c>
      <c r="G28" s="8">
        <f>3.1205 * CHOOSE( CONTROL!$C$15, $D$11, 100%, $F$11)</f>
        <v>3.1204999999999998</v>
      </c>
      <c r="H28" s="4">
        <f>4.0045 * CHOOSE(CONTROL!$C$15, $D$11, 100%, $F$11)</f>
        <v>4.0045000000000002</v>
      </c>
      <c r="I28" s="8">
        <f>3.1755 * CHOOSE(CONTROL!$C$15, $D$11, 100%, $F$11)</f>
        <v>3.1755</v>
      </c>
      <c r="J28" s="4">
        <f>3.054 * CHOOSE(CONTROL!$C$15, $D$11, 100%, $F$11)</f>
        <v>3.0539999999999998</v>
      </c>
      <c r="K28" s="4">
        <f>3.1326 * CHOOSE(CONTROL!$C$15, $D$11, 100%, $F$11)</f>
        <v>3.1326000000000001</v>
      </c>
      <c r="L28" s="9">
        <v>29.306000000000001</v>
      </c>
      <c r="M28" s="9">
        <v>12.063700000000001</v>
      </c>
      <c r="N28" s="9">
        <v>4.9444999999999997</v>
      </c>
      <c r="O28" s="9">
        <v>0.61570000000000003</v>
      </c>
      <c r="P28" s="9">
        <v>1.2927</v>
      </c>
      <c r="Q28" s="9"/>
      <c r="R28" s="9">
        <f t="shared" si="0"/>
        <v>0.3</v>
      </c>
      <c r="S28" s="15">
        <v>1.0738000000000001</v>
      </c>
    </row>
    <row r="29" spans="1:19" ht="15" customHeight="1">
      <c r="A29" s="13">
        <v>42370</v>
      </c>
      <c r="B29" s="8">
        <f>3.3238 * CHOOSE(CONTROL!$C$15, $D$11, 100%, $F$11)</f>
        <v>3.3237999999999999</v>
      </c>
      <c r="C29" s="8">
        <f>3.329 * CHOOSE(CONTROL!$C$15, $D$11, 100%, $F$11)</f>
        <v>3.3290000000000002</v>
      </c>
      <c r="D29" s="8">
        <f>3.3107 * CHOOSE( CONTROL!$C$15, $D$11, 100%, $F$11)</f>
        <v>3.3107000000000002</v>
      </c>
      <c r="E29" s="12">
        <f>3.3168 * CHOOSE( CONTROL!$C$15, $D$11, 100%, $F$11)</f>
        <v>3.3168000000000002</v>
      </c>
      <c r="F29" s="4">
        <f>3.9743 * CHOOSE(CONTROL!$C$15, $D$11, 100%, $F$11)</f>
        <v>3.9742999999999999</v>
      </c>
      <c r="G29" s="8">
        <f>3.2331 * CHOOSE( CONTROL!$C$15, $D$11, 100%, $F$11)</f>
        <v>3.2330999999999999</v>
      </c>
      <c r="H29" s="4">
        <f>4.1164 * CHOOSE(CONTROL!$C$15, $D$11, 100%, $F$11)</f>
        <v>4.1163999999999996</v>
      </c>
      <c r="I29" s="8">
        <f>3.2888 * CHOOSE(CONTROL!$C$15, $D$11, 100%, $F$11)</f>
        <v>3.2888000000000002</v>
      </c>
      <c r="J29" s="4">
        <f>3.164 * CHOOSE(CONTROL!$C$15, $D$11, 100%, $F$11)</f>
        <v>3.1640000000000001</v>
      </c>
      <c r="K29" s="4"/>
      <c r="L29" s="9">
        <v>29.306000000000001</v>
      </c>
      <c r="M29" s="9">
        <v>12.063700000000001</v>
      </c>
      <c r="N29" s="9">
        <v>4.9444999999999997</v>
      </c>
      <c r="O29" s="9">
        <v>0.61570000000000003</v>
      </c>
      <c r="P29" s="9">
        <v>1.2927</v>
      </c>
      <c r="Q29" s="9"/>
      <c r="R29" s="9">
        <f t="shared" ref="R29:R44" si="1">(0.1*4000000)/1000000</f>
        <v>0.4</v>
      </c>
      <c r="S29" s="11"/>
    </row>
    <row r="30" spans="1:19" ht="15" customHeight="1">
      <c r="A30" s="13">
        <v>42401</v>
      </c>
      <c r="B30" s="8">
        <f>3.3175 * CHOOSE(CONTROL!$C$15, $D$11, 100%, $F$11)</f>
        <v>3.3174999999999999</v>
      </c>
      <c r="C30" s="8">
        <f>3.3227 * CHOOSE(CONTROL!$C$15, $D$11, 100%, $F$11)</f>
        <v>3.3227000000000002</v>
      </c>
      <c r="D30" s="8">
        <f>3.3044 * CHOOSE( CONTROL!$C$15, $D$11, 100%, $F$11)</f>
        <v>3.3043999999999998</v>
      </c>
      <c r="E30" s="12">
        <f>3.3105 * CHOOSE( CONTROL!$C$15, $D$11, 100%, $F$11)</f>
        <v>3.3105000000000002</v>
      </c>
      <c r="F30" s="4">
        <f>3.968 * CHOOSE(CONTROL!$C$15, $D$11, 100%, $F$11)</f>
        <v>3.968</v>
      </c>
      <c r="G30" s="8">
        <f>3.227 * CHOOSE( CONTROL!$C$15, $D$11, 100%, $F$11)</f>
        <v>3.2269999999999999</v>
      </c>
      <c r="H30" s="4">
        <f>4.1103 * CHOOSE(CONTROL!$C$15, $D$11, 100%, $F$11)</f>
        <v>4.1102999999999996</v>
      </c>
      <c r="I30" s="8">
        <f>3.2826 * CHOOSE(CONTROL!$C$15, $D$11, 100%, $F$11)</f>
        <v>3.2826</v>
      </c>
      <c r="J30" s="4">
        <f>3.158 * CHOOSE(CONTROL!$C$15, $D$11, 100%, $F$11)</f>
        <v>3.1579999999999999</v>
      </c>
      <c r="K30" s="4"/>
      <c r="L30" s="9">
        <v>27.415299999999998</v>
      </c>
      <c r="M30" s="9">
        <v>11.285299999999999</v>
      </c>
      <c r="N30" s="9">
        <v>4.6254999999999997</v>
      </c>
      <c r="O30" s="9">
        <v>0.57599999999999996</v>
      </c>
      <c r="P30" s="9">
        <v>1.2093</v>
      </c>
      <c r="Q30" s="9"/>
      <c r="R30" s="9">
        <f t="shared" si="1"/>
        <v>0.4</v>
      </c>
      <c r="S30" s="11"/>
    </row>
    <row r="31" spans="1:19" ht="15" customHeight="1">
      <c r="A31" s="13">
        <v>42430</v>
      </c>
      <c r="B31" s="8">
        <f>3.2748 * CHOOSE(CONTROL!$C$15, $D$11, 100%, $F$11)</f>
        <v>3.2747999999999999</v>
      </c>
      <c r="C31" s="8">
        <f>3.28 * CHOOSE(CONTROL!$C$15, $D$11, 100%, $F$11)</f>
        <v>3.28</v>
      </c>
      <c r="D31" s="8">
        <f>3.2613 * CHOOSE( CONTROL!$C$15, $D$11, 100%, $F$11)</f>
        <v>3.2612999999999999</v>
      </c>
      <c r="E31" s="12">
        <f>3.2676 * CHOOSE( CONTROL!$C$15, $D$11, 100%, $F$11)</f>
        <v>3.2675999999999998</v>
      </c>
      <c r="F31" s="4">
        <f>3.9253 * CHOOSE(CONTROL!$C$15, $D$11, 100%, $F$11)</f>
        <v>3.9253</v>
      </c>
      <c r="G31" s="8">
        <f>3.185 * CHOOSE( CONTROL!$C$15, $D$11, 100%, $F$11)</f>
        <v>3.1850000000000001</v>
      </c>
      <c r="H31" s="4">
        <f>4.0686 * CHOOSE(CONTROL!$C$15, $D$11, 100%, $F$11)</f>
        <v>4.0686</v>
      </c>
      <c r="I31" s="8">
        <f>3.2404 * CHOOSE(CONTROL!$C$15, $D$11, 100%, $F$11)</f>
        <v>3.2404000000000002</v>
      </c>
      <c r="J31" s="4">
        <f>3.117 * CHOOSE(CONTROL!$C$15, $D$11, 100%, $F$11)</f>
        <v>3.117</v>
      </c>
      <c r="K31" s="4"/>
      <c r="L31" s="9">
        <v>29.306000000000001</v>
      </c>
      <c r="M31" s="9">
        <v>12.063700000000001</v>
      </c>
      <c r="N31" s="9">
        <v>4.9444999999999997</v>
      </c>
      <c r="O31" s="9">
        <v>0.61570000000000003</v>
      </c>
      <c r="P31" s="9">
        <v>1.2927</v>
      </c>
      <c r="Q31" s="9"/>
      <c r="R31" s="9">
        <f t="shared" si="1"/>
        <v>0.4</v>
      </c>
      <c r="S31" s="11"/>
    </row>
    <row r="32" spans="1:19" ht="15" customHeight="1">
      <c r="A32" s="13">
        <v>42461</v>
      </c>
      <c r="B32" s="8">
        <f>3.1183 * CHOOSE(CONTROL!$C$15, $D$11, 100%, $F$11)</f>
        <v>3.1183000000000001</v>
      </c>
      <c r="C32" s="8">
        <f>3.123 * CHOOSE(CONTROL!$C$15, $D$11, 100%, $F$11)</f>
        <v>3.1230000000000002</v>
      </c>
      <c r="D32" s="8">
        <f>3.1234 * CHOOSE( CONTROL!$C$15, $D$11, 100%, $F$11)</f>
        <v>3.1234000000000002</v>
      </c>
      <c r="E32" s="12">
        <f>3.1227 * CHOOSE( CONTROL!$C$15, $D$11, 100%, $F$11)</f>
        <v>3.1227</v>
      </c>
      <c r="F32" s="4">
        <f>3.8321 * CHOOSE(CONTROL!$C$15, $D$11, 100%, $F$11)</f>
        <v>3.8321000000000001</v>
      </c>
      <c r="G32" s="8">
        <f>3.0343 * CHOOSE( CONTROL!$C$15, $D$11, 100%, $F$11)</f>
        <v>3.0343</v>
      </c>
      <c r="H32" s="4">
        <f>3.9776 * CHOOSE(CONTROL!$C$15, $D$11, 100%, $F$11)</f>
        <v>3.9775999999999998</v>
      </c>
      <c r="I32" s="8">
        <f>3.0798 * CHOOSE(CONTROL!$C$15, $D$11, 100%, $F$11)</f>
        <v>3.0798000000000001</v>
      </c>
      <c r="J32" s="4">
        <f>2.966 * CHOOSE(CONTROL!$C$15, $D$11, 100%, $F$11)</f>
        <v>2.9660000000000002</v>
      </c>
      <c r="K32" s="4"/>
      <c r="L32" s="9">
        <v>30.092199999999998</v>
      </c>
      <c r="M32" s="9">
        <v>11.6745</v>
      </c>
      <c r="N32" s="9">
        <v>4.7850000000000001</v>
      </c>
      <c r="O32" s="9">
        <v>0.59589999999999999</v>
      </c>
      <c r="P32" s="9">
        <v>2.0339999999999998</v>
      </c>
      <c r="Q32" s="9"/>
      <c r="R32" s="9">
        <f t="shared" si="1"/>
        <v>0.4</v>
      </c>
      <c r="S32" s="11"/>
    </row>
    <row r="33" spans="1:19" ht="15" customHeight="1">
      <c r="A33" s="13">
        <v>42491</v>
      </c>
      <c r="B33" s="8">
        <f>CHOOSE( CONTROL!$C$32, 3.1232, 3.1176) * CHOOSE(CONTROL!$C$15, $D$11, 100%, $F$11)</f>
        <v>3.1232000000000002</v>
      </c>
      <c r="C33" s="8">
        <f>CHOOSE( CONTROL!$C$32, 3.1313, 3.1257) * CHOOSE(CONTROL!$C$15, $D$11, 100%, $F$11)</f>
        <v>3.1313</v>
      </c>
      <c r="D33" s="8">
        <f>CHOOSE( CONTROL!$C$32, 3.1422, 3.1367) * CHOOSE( CONTROL!$C$15, $D$11, 100%, $F$11)</f>
        <v>3.1421999999999999</v>
      </c>
      <c r="E33" s="12">
        <f>CHOOSE( CONTROL!$C$32, 3.1374, 3.1319) * CHOOSE( CONTROL!$C$15, $D$11, 100%, $F$11)</f>
        <v>3.1374</v>
      </c>
      <c r="F33" s="4">
        <f>CHOOSE( CONTROL!$C$32, 3.8356, 3.83) * CHOOSE(CONTROL!$C$15, $D$11, 100%, $F$11)</f>
        <v>3.8355999999999999</v>
      </c>
      <c r="G33" s="8">
        <f>CHOOSE( CONTROL!$C$32, 3.0361, 3.0307) * CHOOSE( CONTROL!$C$15, $D$11, 100%, $F$11)</f>
        <v>3.0360999999999998</v>
      </c>
      <c r="H33" s="4">
        <f>CHOOSE( CONTROL!$C$32, 3.981, 3.9755) * CHOOSE(CONTROL!$C$15, $D$11, 100%, $F$11)</f>
        <v>3.9809999999999999</v>
      </c>
      <c r="I33" s="8">
        <f>CHOOSE( CONTROL!$C$32, 3.0831, 3.0777) * CHOOSE(CONTROL!$C$15, $D$11, 100%, $F$11)</f>
        <v>3.0831</v>
      </c>
      <c r="J33" s="4">
        <f>CHOOSE( CONTROL!$C$32, 2.9693, 2.964) * CHOOSE(CONTROL!$C$15, $D$11, 100%, $F$11)</f>
        <v>2.9693000000000001</v>
      </c>
      <c r="K33" s="4"/>
      <c r="L33" s="9">
        <v>33.7545</v>
      </c>
      <c r="M33" s="9">
        <v>12.063700000000001</v>
      </c>
      <c r="N33" s="9">
        <v>4.9444999999999997</v>
      </c>
      <c r="O33" s="9">
        <v>0.37409999999999999</v>
      </c>
      <c r="P33" s="9">
        <v>1.4925999999999999</v>
      </c>
      <c r="Q33" s="9"/>
      <c r="R33" s="9">
        <f t="shared" si="1"/>
        <v>0.4</v>
      </c>
      <c r="S33" s="11"/>
    </row>
    <row r="34" spans="1:19" ht="15" customHeight="1">
      <c r="A34" s="13">
        <v>42522</v>
      </c>
      <c r="B34" s="8">
        <f>CHOOSE( CONTROL!$C$32, 3.1523, 3.1468) * CHOOSE(CONTROL!$C$15, $D$11, 100%, $F$11)</f>
        <v>3.1522999999999999</v>
      </c>
      <c r="C34" s="8">
        <f>CHOOSE( CONTROL!$C$32, 3.1604, 3.1549) * CHOOSE(CONTROL!$C$15, $D$11, 100%, $F$11)</f>
        <v>3.1604000000000001</v>
      </c>
      <c r="D34" s="8">
        <f>CHOOSE( CONTROL!$C$32, 3.1716, 3.1661) * CHOOSE( CONTROL!$C$15, $D$11, 100%, $F$11)</f>
        <v>3.1716000000000002</v>
      </c>
      <c r="E34" s="12">
        <f>CHOOSE( CONTROL!$C$32, 3.1667, 3.1612) * CHOOSE( CONTROL!$C$15, $D$11, 100%, $F$11)</f>
        <v>3.1667000000000001</v>
      </c>
      <c r="F34" s="4">
        <f>CHOOSE( CONTROL!$C$32, 3.8647, 3.8592) * CHOOSE(CONTROL!$C$15, $D$11, 100%, $F$11)</f>
        <v>3.8647</v>
      </c>
      <c r="G34" s="8">
        <f>CHOOSE( CONTROL!$C$32, 3.0649, 3.0594) * CHOOSE( CONTROL!$C$15, $D$11, 100%, $F$11)</f>
        <v>3.0649000000000002</v>
      </c>
      <c r="H34" s="4">
        <f>CHOOSE( CONTROL!$C$32, 4.0095, 4.004) * CHOOSE(CONTROL!$C$15, $D$11, 100%, $F$11)</f>
        <v>4.0095000000000001</v>
      </c>
      <c r="I34" s="8">
        <f>CHOOSE( CONTROL!$C$32, 3.1119, 3.1066) * CHOOSE(CONTROL!$C$15, $D$11, 100%, $F$11)</f>
        <v>3.1118999999999999</v>
      </c>
      <c r="J34" s="4">
        <f>CHOOSE( CONTROL!$C$32, 2.9973, 2.992) * CHOOSE(CONTROL!$C$15, $D$11, 100%, $F$11)</f>
        <v>2.9973000000000001</v>
      </c>
      <c r="K34" s="4"/>
      <c r="L34" s="9">
        <v>32.665700000000001</v>
      </c>
      <c r="M34" s="9">
        <v>11.6745</v>
      </c>
      <c r="N34" s="9">
        <v>4.7850000000000001</v>
      </c>
      <c r="O34" s="9">
        <v>0.36199999999999999</v>
      </c>
      <c r="P34" s="9">
        <v>1.4443999999999999</v>
      </c>
      <c r="Q34" s="9"/>
      <c r="R34" s="9">
        <f t="shared" si="1"/>
        <v>0.4</v>
      </c>
      <c r="S34" s="11"/>
    </row>
    <row r="35" spans="1:19" ht="15" customHeight="1">
      <c r="A35" s="13">
        <v>42552</v>
      </c>
      <c r="B35" s="8">
        <f>CHOOSE( CONTROL!$C$32, 3.1867, 3.1812) * CHOOSE(CONTROL!$C$15, $D$11, 100%, $F$11)</f>
        <v>3.1867000000000001</v>
      </c>
      <c r="C35" s="8">
        <f>CHOOSE( CONTROL!$C$32, 3.1948, 3.1892) * CHOOSE(CONTROL!$C$15, $D$11, 100%, $F$11)</f>
        <v>3.1947999999999999</v>
      </c>
      <c r="D35" s="8">
        <f>CHOOSE( CONTROL!$C$32, 3.2062, 3.2007) * CHOOSE( CONTROL!$C$15, $D$11, 100%, $F$11)</f>
        <v>3.2061999999999999</v>
      </c>
      <c r="E35" s="12">
        <f>CHOOSE( CONTROL!$C$32, 3.2012, 3.1957) * CHOOSE( CONTROL!$C$15, $D$11, 100%, $F$11)</f>
        <v>3.2012</v>
      </c>
      <c r="F35" s="4">
        <f>CHOOSE( CONTROL!$C$32, 3.8991, 3.8935) * CHOOSE(CONTROL!$C$15, $D$11, 100%, $F$11)</f>
        <v>3.8990999999999998</v>
      </c>
      <c r="G35" s="8">
        <f>CHOOSE( CONTROL!$C$32, 3.0987, 3.0933) * CHOOSE( CONTROL!$C$15, $D$11, 100%, $F$11)</f>
        <v>3.0987</v>
      </c>
      <c r="H35" s="4">
        <f>CHOOSE( CONTROL!$C$32, 4.043, 4.0376) * CHOOSE(CONTROL!$C$15, $D$11, 100%, $F$11)</f>
        <v>4.0430000000000001</v>
      </c>
      <c r="I35" s="8">
        <f>CHOOSE( CONTROL!$C$32, 3.1459, 3.1405) * CHOOSE(CONTROL!$C$15, $D$11, 100%, $F$11)</f>
        <v>3.1459000000000001</v>
      </c>
      <c r="J35" s="4">
        <f>CHOOSE( CONTROL!$C$32, 3.0303, 3.025) * CHOOSE(CONTROL!$C$15, $D$11, 100%, $F$11)</f>
        <v>3.0303</v>
      </c>
      <c r="K35" s="4"/>
      <c r="L35" s="9">
        <v>33.7545</v>
      </c>
      <c r="M35" s="9">
        <v>12.063700000000001</v>
      </c>
      <c r="N35" s="9">
        <v>4.9444999999999997</v>
      </c>
      <c r="O35" s="9">
        <v>0.37409999999999999</v>
      </c>
      <c r="P35" s="9">
        <v>1.4925999999999999</v>
      </c>
      <c r="Q35" s="9"/>
      <c r="R35" s="9">
        <f t="shared" si="1"/>
        <v>0.4</v>
      </c>
      <c r="S35" s="11"/>
    </row>
    <row r="36" spans="1:19" ht="15" customHeight="1">
      <c r="A36" s="13">
        <v>42583</v>
      </c>
      <c r="B36" s="8">
        <f>CHOOSE( CONTROL!$C$32, 3.1971, 3.1916) * CHOOSE(CONTROL!$C$15, $D$11, 100%, $F$11)</f>
        <v>3.1970999999999998</v>
      </c>
      <c r="C36" s="8">
        <f>CHOOSE( CONTROL!$C$32, 3.2052, 3.1997) * CHOOSE(CONTROL!$C$15, $D$11, 100%, $F$11)</f>
        <v>3.2052</v>
      </c>
      <c r="D36" s="8">
        <f>CHOOSE( CONTROL!$C$32, 3.2167, 3.2112) * CHOOSE( CONTROL!$C$15, $D$11, 100%, $F$11)</f>
        <v>3.2166999999999999</v>
      </c>
      <c r="E36" s="12">
        <f>CHOOSE( CONTROL!$C$32, 3.2117, 3.2062) * CHOOSE( CONTROL!$C$15, $D$11, 100%, $F$11)</f>
        <v>3.2117</v>
      </c>
      <c r="F36" s="4">
        <f>CHOOSE( CONTROL!$C$32, 3.9095, 3.904) * CHOOSE(CONTROL!$C$15, $D$11, 100%, $F$11)</f>
        <v>3.9095</v>
      </c>
      <c r="G36" s="8">
        <f>CHOOSE( CONTROL!$C$32, 3.109, 3.1035) * CHOOSE( CONTROL!$C$15, $D$11, 100%, $F$11)</f>
        <v>3.109</v>
      </c>
      <c r="H36" s="4">
        <f>CHOOSE( CONTROL!$C$32, 4.0532, 4.0478) * CHOOSE(CONTROL!$C$15, $D$11, 100%, $F$11)</f>
        <v>4.0532000000000004</v>
      </c>
      <c r="I36" s="8">
        <f>CHOOSE( CONTROL!$C$32, 3.1562, 3.1508) * CHOOSE(CONTROL!$C$15, $D$11, 100%, $F$11)</f>
        <v>3.1562000000000001</v>
      </c>
      <c r="J36" s="4">
        <f>CHOOSE( CONTROL!$C$32, 3.0403, 3.035) * CHOOSE(CONTROL!$C$15, $D$11, 100%, $F$11)</f>
        <v>3.0402999999999998</v>
      </c>
      <c r="K36" s="4"/>
      <c r="L36" s="9">
        <v>33.7545</v>
      </c>
      <c r="M36" s="9">
        <v>12.063700000000001</v>
      </c>
      <c r="N36" s="9">
        <v>4.9444999999999997</v>
      </c>
      <c r="O36" s="9">
        <v>0.37409999999999999</v>
      </c>
      <c r="P36" s="9">
        <v>1.4925999999999999</v>
      </c>
      <c r="Q36" s="9"/>
      <c r="R36" s="9">
        <f t="shared" si="1"/>
        <v>0.4</v>
      </c>
      <c r="S36" s="11"/>
    </row>
    <row r="37" spans="1:19" ht="15" customHeight="1">
      <c r="A37" s="13">
        <v>42614</v>
      </c>
      <c r="B37" s="8">
        <f>CHOOSE( CONTROL!$C$32, 3.1888, 3.1832) * CHOOSE(CONTROL!$C$15, $D$11, 100%, $F$11)</f>
        <v>3.1888000000000001</v>
      </c>
      <c r="C37" s="8">
        <f>CHOOSE( CONTROL!$C$32, 3.1969, 3.1913) * CHOOSE(CONTROL!$C$15, $D$11, 100%, $F$11)</f>
        <v>3.1968999999999999</v>
      </c>
      <c r="D37" s="8">
        <f>CHOOSE( CONTROL!$C$32, 3.2083, 3.2028) * CHOOSE( CONTROL!$C$15, $D$11, 100%, $F$11)</f>
        <v>3.2082999999999999</v>
      </c>
      <c r="E37" s="12">
        <f>CHOOSE( CONTROL!$C$32, 3.2033, 3.1978) * CHOOSE( CONTROL!$C$15, $D$11, 100%, $F$11)</f>
        <v>3.2033</v>
      </c>
      <c r="F37" s="4">
        <f>CHOOSE( CONTROL!$C$32, 3.9012, 3.8956) * CHOOSE(CONTROL!$C$15, $D$11, 100%, $F$11)</f>
        <v>3.9011999999999998</v>
      </c>
      <c r="G37" s="8">
        <f>CHOOSE( CONTROL!$C$32, 3.1008, 3.0953) * CHOOSE( CONTROL!$C$15, $D$11, 100%, $F$11)</f>
        <v>3.1008</v>
      </c>
      <c r="H37" s="4">
        <f>CHOOSE( CONTROL!$C$32, 4.0451, 4.0396) * CHOOSE(CONTROL!$C$15, $D$11, 100%, $F$11)</f>
        <v>4.0450999999999997</v>
      </c>
      <c r="I37" s="8">
        <f>CHOOSE( CONTROL!$C$32, 3.1479, 3.1426) * CHOOSE(CONTROL!$C$15, $D$11, 100%, $F$11)</f>
        <v>3.1478999999999999</v>
      </c>
      <c r="J37" s="4">
        <f>CHOOSE( CONTROL!$C$32, 3.0323, 3.027) * CHOOSE(CONTROL!$C$15, $D$11, 100%, $F$11)</f>
        <v>3.0323000000000002</v>
      </c>
      <c r="K37" s="4"/>
      <c r="L37" s="9">
        <v>32.665700000000001</v>
      </c>
      <c r="M37" s="9">
        <v>11.6745</v>
      </c>
      <c r="N37" s="9">
        <v>4.7850000000000001</v>
      </c>
      <c r="O37" s="9">
        <v>0.36199999999999999</v>
      </c>
      <c r="P37" s="9">
        <v>1.4443999999999999</v>
      </c>
      <c r="Q37" s="9"/>
      <c r="R37" s="9">
        <f t="shared" si="1"/>
        <v>0.4</v>
      </c>
      <c r="S37" s="11"/>
    </row>
    <row r="38" spans="1:19" ht="15" customHeight="1">
      <c r="A38" s="13">
        <v>42644</v>
      </c>
      <c r="B38" s="8">
        <f>3.2128 * CHOOSE(CONTROL!$C$15, $D$11, 100%, $F$11)</f>
        <v>3.2128000000000001</v>
      </c>
      <c r="C38" s="8">
        <f>3.2182 * CHOOSE(CONTROL!$C$15, $D$11, 100%, $F$11)</f>
        <v>3.2181999999999999</v>
      </c>
      <c r="D38" s="8">
        <f>3.228 * CHOOSE( CONTROL!$C$15, $D$11, 100%, $F$11)</f>
        <v>3.2280000000000002</v>
      </c>
      <c r="E38" s="12">
        <f>3.2242 * CHOOSE( CONTROL!$C$15, $D$11, 100%, $F$11)</f>
        <v>3.2242000000000002</v>
      </c>
      <c r="F38" s="4">
        <f>3.9269 * CHOOSE(CONTROL!$C$15, $D$11, 100%, $F$11)</f>
        <v>3.9268999999999998</v>
      </c>
      <c r="G38" s="8">
        <f>3.125 * CHOOSE( CONTROL!$C$15, $D$11, 100%, $F$11)</f>
        <v>3.125</v>
      </c>
      <c r="H38" s="4">
        <f>4.0702 * CHOOSE(CONTROL!$C$15, $D$11, 100%, $F$11)</f>
        <v>4.0701999999999998</v>
      </c>
      <c r="I38" s="8">
        <f>3.1735 * CHOOSE(CONTROL!$C$15, $D$11, 100%, $F$11)</f>
        <v>3.1735000000000002</v>
      </c>
      <c r="J38" s="4">
        <f>3.057 * CHOOSE(CONTROL!$C$15, $D$11, 100%, $F$11)</f>
        <v>3.0569999999999999</v>
      </c>
      <c r="K38" s="4"/>
      <c r="L38" s="9">
        <v>31.095300000000002</v>
      </c>
      <c r="M38" s="9">
        <v>12.063700000000001</v>
      </c>
      <c r="N38" s="9">
        <v>4.9444999999999997</v>
      </c>
      <c r="O38" s="9">
        <v>0.37409999999999999</v>
      </c>
      <c r="P38" s="9">
        <v>2.1017999999999999</v>
      </c>
      <c r="Q38" s="9"/>
      <c r="R38" s="9">
        <f t="shared" si="1"/>
        <v>0.4</v>
      </c>
      <c r="S38" s="11"/>
    </row>
    <row r="39" spans="1:19" ht="15" customHeight="1">
      <c r="A39" s="13">
        <v>42675</v>
      </c>
      <c r="B39" s="8">
        <f>3.3009 * CHOOSE(CONTROL!$C$15, $D$11, 100%, $F$11)</f>
        <v>3.3008999999999999</v>
      </c>
      <c r="C39" s="8">
        <f>3.3061 * CHOOSE(CONTROL!$C$15, $D$11, 100%, $F$11)</f>
        <v>3.3060999999999998</v>
      </c>
      <c r="D39" s="8">
        <f>3.2923 * CHOOSE( CONTROL!$C$15, $D$11, 100%, $F$11)</f>
        <v>3.2923</v>
      </c>
      <c r="E39" s="12">
        <f>3.2968 * CHOOSE( CONTROL!$C$15, $D$11, 100%, $F$11)</f>
        <v>3.2968000000000002</v>
      </c>
      <c r="F39" s="4">
        <f>3.9513 * CHOOSE(CONTROL!$C$15, $D$11, 100%, $F$11)</f>
        <v>3.9512999999999998</v>
      </c>
      <c r="G39" s="8">
        <f>3.2191 * CHOOSE( CONTROL!$C$15, $D$11, 100%, $F$11)</f>
        <v>3.2191000000000001</v>
      </c>
      <c r="H39" s="4">
        <f>4.0941 * CHOOSE(CONTROL!$C$15, $D$11, 100%, $F$11)</f>
        <v>4.0941000000000001</v>
      </c>
      <c r="I39" s="8">
        <f>3.3021 * CHOOSE(CONTROL!$C$15, $D$11, 100%, $F$11)</f>
        <v>3.3020999999999998</v>
      </c>
      <c r="J39" s="4">
        <f>3.142 * CHOOSE(CONTROL!$C$15, $D$11, 100%, $F$11)</f>
        <v>3.1419999999999999</v>
      </c>
      <c r="K39" s="4"/>
      <c r="L39" s="9">
        <v>28.360600000000002</v>
      </c>
      <c r="M39" s="9">
        <v>11.6745</v>
      </c>
      <c r="N39" s="9">
        <v>4.7850000000000001</v>
      </c>
      <c r="O39" s="9">
        <v>0.36199999999999999</v>
      </c>
      <c r="P39" s="9">
        <v>1.2509999999999999</v>
      </c>
      <c r="Q39" s="9"/>
      <c r="R39" s="9">
        <f t="shared" si="1"/>
        <v>0.4</v>
      </c>
      <c r="S39" s="11"/>
    </row>
    <row r="40" spans="1:19" ht="15" customHeight="1">
      <c r="A40" s="13">
        <v>42705</v>
      </c>
      <c r="B40" s="8">
        <f>3.4727 * CHOOSE(CONTROL!$C$15, $D$11, 100%, $F$11)</f>
        <v>3.4727000000000001</v>
      </c>
      <c r="C40" s="8">
        <f>3.4779 * CHOOSE(CONTROL!$C$15, $D$11, 100%, $F$11)</f>
        <v>3.4779</v>
      </c>
      <c r="D40" s="8">
        <f>3.4656 * CHOOSE( CONTROL!$C$15, $D$11, 100%, $F$11)</f>
        <v>3.4655999999999998</v>
      </c>
      <c r="E40" s="12">
        <f>3.4695 * CHOOSE( CONTROL!$C$15, $D$11, 100%, $F$11)</f>
        <v>3.4695</v>
      </c>
      <c r="F40" s="4">
        <f>4.1232 * CHOOSE(CONTROL!$C$15, $D$11, 100%, $F$11)</f>
        <v>4.1231999999999998</v>
      </c>
      <c r="G40" s="8">
        <f>3.388 * CHOOSE( CONTROL!$C$15, $D$11, 100%, $F$11)</f>
        <v>3.3879999999999999</v>
      </c>
      <c r="H40" s="4">
        <f>4.2619 * CHOOSE(CONTROL!$C$15, $D$11, 100%, $F$11)</f>
        <v>4.2618999999999998</v>
      </c>
      <c r="I40" s="8">
        <f>3.472 * CHOOSE(CONTROL!$C$15, $D$11, 100%, $F$11)</f>
        <v>3.472</v>
      </c>
      <c r="J40" s="4">
        <f>3.307 * CHOOSE(CONTROL!$C$15, $D$11, 100%, $F$11)</f>
        <v>3.3069999999999999</v>
      </c>
      <c r="K40" s="4"/>
      <c r="L40" s="9">
        <v>29.306000000000001</v>
      </c>
      <c r="M40" s="9">
        <v>12.063700000000001</v>
      </c>
      <c r="N40" s="9">
        <v>4.9444999999999997</v>
      </c>
      <c r="O40" s="9">
        <v>0.37409999999999999</v>
      </c>
      <c r="P40" s="9">
        <v>1.2927</v>
      </c>
      <c r="Q40" s="9"/>
      <c r="R40" s="9">
        <f t="shared" si="1"/>
        <v>0.4</v>
      </c>
      <c r="S40" s="11"/>
    </row>
    <row r="41" spans="1:19" ht="15" customHeight="1">
      <c r="A41" s="13">
        <v>42736</v>
      </c>
      <c r="B41" s="8">
        <f>3.5956 * CHOOSE(CONTROL!$C$15, $D$11, 100%, $F$11)</f>
        <v>3.5956000000000001</v>
      </c>
      <c r="C41" s="8">
        <f>3.6008 * CHOOSE(CONTROL!$C$15, $D$11, 100%, $F$11)</f>
        <v>3.6008</v>
      </c>
      <c r="D41" s="8">
        <f>3.5833 * CHOOSE( CONTROL!$C$15, $D$11, 100%, $F$11)</f>
        <v>3.5832999999999999</v>
      </c>
      <c r="E41" s="12">
        <f>3.5891 * CHOOSE( CONTROL!$C$15, $D$11, 100%, $F$11)</f>
        <v>3.5891000000000002</v>
      </c>
      <c r="F41" s="4">
        <f>4.2461 * CHOOSE(CONTROL!$C$15, $D$11, 100%, $F$11)</f>
        <v>4.2461000000000002</v>
      </c>
      <c r="G41" s="8">
        <f>3.498 * CHOOSE( CONTROL!$C$15, $D$11, 100%, $F$11)</f>
        <v>3.4980000000000002</v>
      </c>
      <c r="H41" s="4">
        <f>4.382 * CHOOSE(CONTROL!$C$15, $D$11, 100%, $F$11)</f>
        <v>4.3819999999999997</v>
      </c>
      <c r="I41" s="8">
        <f>3.5499 * CHOOSE(CONTROL!$C$15, $D$11, 100%, $F$11)</f>
        <v>3.5499000000000001</v>
      </c>
      <c r="J41" s="4">
        <f>3.425 * CHOOSE(CONTROL!$C$15, $D$11, 100%, $F$11)</f>
        <v>3.4249999999999998</v>
      </c>
      <c r="K41" s="4"/>
      <c r="L41" s="9">
        <v>29.306000000000001</v>
      </c>
      <c r="M41" s="9">
        <v>12.063700000000001</v>
      </c>
      <c r="N41" s="9">
        <v>4.9444999999999997</v>
      </c>
      <c r="O41" s="9">
        <v>0.37409999999999999</v>
      </c>
      <c r="P41" s="9">
        <v>1.2927</v>
      </c>
      <c r="Q41" s="9"/>
      <c r="R41" s="9">
        <f t="shared" si="1"/>
        <v>0.4</v>
      </c>
      <c r="S41" s="11"/>
    </row>
    <row r="42" spans="1:19" ht="15" customHeight="1">
      <c r="A42" s="13">
        <v>42767</v>
      </c>
      <c r="B42" s="8">
        <f>3.5852 * CHOOSE(CONTROL!$C$15, $D$11, 100%, $F$11)</f>
        <v>3.5851999999999999</v>
      </c>
      <c r="C42" s="8">
        <f>3.5904 * CHOOSE(CONTROL!$C$15, $D$11, 100%, $F$11)</f>
        <v>3.5903999999999998</v>
      </c>
      <c r="D42" s="8">
        <f>3.5728 * CHOOSE( CONTROL!$C$15, $D$11, 100%, $F$11)</f>
        <v>3.5728</v>
      </c>
      <c r="E42" s="12">
        <f>3.5787 * CHOOSE( CONTROL!$C$15, $D$11, 100%, $F$11)</f>
        <v>3.5787</v>
      </c>
      <c r="F42" s="4">
        <f>4.2357 * CHOOSE(CONTROL!$C$15, $D$11, 100%, $F$11)</f>
        <v>4.2356999999999996</v>
      </c>
      <c r="G42" s="8">
        <f>3.4878 * CHOOSE( CONTROL!$C$15, $D$11, 100%, $F$11)</f>
        <v>3.4878</v>
      </c>
      <c r="H42" s="4">
        <f>4.3718 * CHOOSE(CONTROL!$C$15, $D$11, 100%, $F$11)</f>
        <v>4.3718000000000004</v>
      </c>
      <c r="I42" s="8">
        <f>3.5397 * CHOOSE(CONTROL!$C$15, $D$11, 100%, $F$11)</f>
        <v>3.5396999999999998</v>
      </c>
      <c r="J42" s="4">
        <f>3.415 * CHOOSE(CONTROL!$C$15, $D$11, 100%, $F$11)</f>
        <v>3.415</v>
      </c>
      <c r="K42" s="4"/>
      <c r="L42" s="9">
        <v>26.469899999999999</v>
      </c>
      <c r="M42" s="9">
        <v>10.8962</v>
      </c>
      <c r="N42" s="9">
        <v>4.4660000000000002</v>
      </c>
      <c r="O42" s="9">
        <v>0.33789999999999998</v>
      </c>
      <c r="P42" s="9">
        <v>1.1676</v>
      </c>
      <c r="Q42" s="9"/>
      <c r="R42" s="9">
        <f t="shared" si="1"/>
        <v>0.4</v>
      </c>
      <c r="S42" s="11"/>
    </row>
    <row r="43" spans="1:19" ht="15" customHeight="1">
      <c r="A43" s="13">
        <v>42795</v>
      </c>
      <c r="B43" s="8">
        <f>3.5259 * CHOOSE(CONTROL!$C$15, $D$11, 100%, $F$11)</f>
        <v>3.5259</v>
      </c>
      <c r="C43" s="8">
        <f>3.531 * CHOOSE(CONTROL!$C$15, $D$11, 100%, $F$11)</f>
        <v>3.5310000000000001</v>
      </c>
      <c r="D43" s="8">
        <f>3.5131 * CHOOSE( CONTROL!$C$15, $D$11, 100%, $F$11)</f>
        <v>3.5131000000000001</v>
      </c>
      <c r="E43" s="12">
        <f>3.5191 * CHOOSE( CONTROL!$C$15, $D$11, 100%, $F$11)</f>
        <v>3.5190999999999999</v>
      </c>
      <c r="F43" s="4">
        <f>4.1763 * CHOOSE(CONTROL!$C$15, $D$11, 100%, $F$11)</f>
        <v>4.1763000000000003</v>
      </c>
      <c r="G43" s="8">
        <f>3.4295 * CHOOSE( CONTROL!$C$15, $D$11, 100%, $F$11)</f>
        <v>3.4295</v>
      </c>
      <c r="H43" s="4">
        <f>4.3138 * CHOOSE(CONTROL!$C$15, $D$11, 100%, $F$11)</f>
        <v>4.3137999999999996</v>
      </c>
      <c r="I43" s="8">
        <f>3.4815 * CHOOSE(CONTROL!$C$15, $D$11, 100%, $F$11)</f>
        <v>3.4815</v>
      </c>
      <c r="J43" s="4">
        <f>3.358 * CHOOSE(CONTROL!$C$15, $D$11, 100%, $F$11)</f>
        <v>3.3580000000000001</v>
      </c>
      <c r="K43" s="4"/>
      <c r="L43" s="9">
        <v>29.306000000000001</v>
      </c>
      <c r="M43" s="9">
        <v>12.063700000000001</v>
      </c>
      <c r="N43" s="9">
        <v>4.9444999999999997</v>
      </c>
      <c r="O43" s="9">
        <v>0.37409999999999999</v>
      </c>
      <c r="P43" s="9">
        <v>1.2927</v>
      </c>
      <c r="Q43" s="9"/>
      <c r="R43" s="9">
        <f t="shared" si="1"/>
        <v>0.4</v>
      </c>
      <c r="S43" s="11"/>
    </row>
    <row r="44" spans="1:19" ht="15" customHeight="1">
      <c r="A44" s="13">
        <v>42826</v>
      </c>
      <c r="B44" s="8">
        <f>3.2662 * CHOOSE(CONTROL!$C$15, $D$11, 100%, $F$11)</f>
        <v>3.2662</v>
      </c>
      <c r="C44" s="8">
        <f>3.2709 * CHOOSE(CONTROL!$C$15, $D$11, 100%, $F$11)</f>
        <v>3.2709000000000001</v>
      </c>
      <c r="D44" s="8">
        <f>3.2804 * CHOOSE( CONTROL!$C$15, $D$11, 100%, $F$11)</f>
        <v>3.2804000000000002</v>
      </c>
      <c r="E44" s="12">
        <f>3.2767 * CHOOSE( CONTROL!$C$15, $D$11, 100%, $F$11)</f>
        <v>3.2766999999999999</v>
      </c>
      <c r="F44" s="4">
        <f>3.98 * CHOOSE(CONTROL!$C$15, $D$11, 100%, $F$11)</f>
        <v>3.98</v>
      </c>
      <c r="G44" s="8">
        <f>3.1761 * CHOOSE( CONTROL!$C$15, $D$11, 100%, $F$11)</f>
        <v>3.1760999999999999</v>
      </c>
      <c r="H44" s="4">
        <f>4.122 * CHOOSE(CONTROL!$C$15, $D$11, 100%, $F$11)</f>
        <v>4.1219999999999999</v>
      </c>
      <c r="I44" s="8">
        <f>3.2219 * CHOOSE(CONTROL!$C$15, $D$11, 100%, $F$11)</f>
        <v>3.2219000000000002</v>
      </c>
      <c r="J44" s="4">
        <f>3.108 * CHOOSE(CONTROL!$C$15, $D$11, 100%, $F$11)</f>
        <v>3.1080000000000001</v>
      </c>
      <c r="K44" s="4"/>
      <c r="L44" s="9">
        <v>30.092199999999998</v>
      </c>
      <c r="M44" s="9">
        <v>11.6745</v>
      </c>
      <c r="N44" s="9">
        <v>4.7850000000000001</v>
      </c>
      <c r="O44" s="9">
        <v>0.36199999999999999</v>
      </c>
      <c r="P44" s="9">
        <v>2.0339999999999998</v>
      </c>
      <c r="Q44" s="9"/>
      <c r="R44" s="9">
        <f t="shared" si="1"/>
        <v>0.4</v>
      </c>
      <c r="S44" s="11"/>
    </row>
    <row r="45" spans="1:19" ht="15" customHeight="1">
      <c r="A45" s="13">
        <v>42856</v>
      </c>
      <c r="B45" s="8">
        <f>CHOOSE( CONTROL!$C$32, 3.268, 3.2624) * CHOOSE(CONTROL!$C$15, $D$11, 100%, $F$11)</f>
        <v>3.2679999999999998</v>
      </c>
      <c r="C45" s="8">
        <f>CHOOSE( CONTROL!$C$32, 3.276, 3.2705) * CHOOSE(CONTROL!$C$15, $D$11, 100%, $F$11)</f>
        <v>3.2759999999999998</v>
      </c>
      <c r="D45" s="8">
        <f>CHOOSE( CONTROL!$C$32, 3.2809, 3.2754) * CHOOSE( CONTROL!$C$15, $D$11, 100%, $F$11)</f>
        <v>3.2808999999999999</v>
      </c>
      <c r="E45" s="12">
        <f>CHOOSE( CONTROL!$C$32, 3.2779, 3.2724) * CHOOSE( CONTROL!$C$15, $D$11, 100%, $F$11)</f>
        <v>3.2778999999999998</v>
      </c>
      <c r="F45" s="4">
        <f>CHOOSE( CONTROL!$C$32, 3.9804, 3.9748) * CHOOSE(CONTROL!$C$15, $D$11, 100%, $F$11)</f>
        <v>3.9803999999999999</v>
      </c>
      <c r="G45" s="8">
        <f>CHOOSE( CONTROL!$C$32, 3.1775, 3.1721) * CHOOSE( CONTROL!$C$15, $D$11, 100%, $F$11)</f>
        <v>3.1775000000000002</v>
      </c>
      <c r="H45" s="4">
        <f>CHOOSE( CONTROL!$C$32, 4.1224, 4.1169) * CHOOSE(CONTROL!$C$15, $D$11, 100%, $F$11)</f>
        <v>4.1223999999999998</v>
      </c>
      <c r="I45" s="8">
        <f>CHOOSE( CONTROL!$C$32, 3.2222, 3.2168) * CHOOSE(CONTROL!$C$15, $D$11, 100%, $F$11)</f>
        <v>3.2222</v>
      </c>
      <c r="J45" s="4">
        <f>CHOOSE( CONTROL!$C$32, 3.1083, 3.103) * CHOOSE(CONTROL!$C$15, $D$11, 100%, $F$11)</f>
        <v>3.1082999999999998</v>
      </c>
      <c r="K45" s="4"/>
      <c r="L45" s="9">
        <v>30.7165</v>
      </c>
      <c r="M45" s="9">
        <v>12.063700000000001</v>
      </c>
      <c r="N45" s="9">
        <v>4.9444999999999997</v>
      </c>
      <c r="O45" s="9">
        <v>0.37409999999999999</v>
      </c>
      <c r="P45" s="9">
        <v>2.1017999999999999</v>
      </c>
      <c r="Q45" s="9">
        <v>25.076499999999999</v>
      </c>
      <c r="R45" s="9"/>
      <c r="S45" s="11"/>
    </row>
    <row r="46" spans="1:19" ht="15" customHeight="1">
      <c r="A46" s="13">
        <v>42887</v>
      </c>
      <c r="B46" s="8">
        <f>CHOOSE( CONTROL!$C$32, 3.294, 3.2884) * CHOOSE(CONTROL!$C$15, $D$11, 100%, $F$11)</f>
        <v>3.294</v>
      </c>
      <c r="C46" s="8">
        <f>CHOOSE( CONTROL!$C$32, 3.3021, 3.2965) * CHOOSE(CONTROL!$C$15, $D$11, 100%, $F$11)</f>
        <v>3.3020999999999998</v>
      </c>
      <c r="D46" s="8">
        <f>CHOOSE( CONTROL!$C$32, 3.3072, 3.3016) * CHOOSE( CONTROL!$C$15, $D$11, 100%, $F$11)</f>
        <v>3.3071999999999999</v>
      </c>
      <c r="E46" s="12">
        <f>CHOOSE( CONTROL!$C$32, 3.3041, 3.2985) * CHOOSE( CONTROL!$C$15, $D$11, 100%, $F$11)</f>
        <v>3.3041</v>
      </c>
      <c r="F46" s="4">
        <f>CHOOSE( CONTROL!$C$32, 4.0064, 4.0008) * CHOOSE(CONTROL!$C$15, $D$11, 100%, $F$11)</f>
        <v>4.0064000000000002</v>
      </c>
      <c r="G46" s="8">
        <f>CHOOSE( CONTROL!$C$32, 3.2032, 3.1978) * CHOOSE( CONTROL!$C$15, $D$11, 100%, $F$11)</f>
        <v>3.2031999999999998</v>
      </c>
      <c r="H46" s="4">
        <f>CHOOSE( CONTROL!$C$32, 4.1478, 4.1424) * CHOOSE(CONTROL!$C$15, $D$11, 100%, $F$11)</f>
        <v>4.1478000000000002</v>
      </c>
      <c r="I46" s="8">
        <f>CHOOSE( CONTROL!$C$32, 3.248, 3.2426) * CHOOSE(CONTROL!$C$15, $D$11, 100%, $F$11)</f>
        <v>3.2480000000000002</v>
      </c>
      <c r="J46" s="4">
        <f>CHOOSE( CONTROL!$C$32, 3.1333, 3.128) * CHOOSE(CONTROL!$C$15, $D$11, 100%, $F$11)</f>
        <v>3.1333000000000002</v>
      </c>
      <c r="K46" s="4"/>
      <c r="L46" s="9">
        <v>29.7257</v>
      </c>
      <c r="M46" s="9">
        <v>11.6745</v>
      </c>
      <c r="N46" s="9">
        <v>4.7850000000000001</v>
      </c>
      <c r="O46" s="9">
        <v>0.36199999999999999</v>
      </c>
      <c r="P46" s="9">
        <v>2.0339999999999998</v>
      </c>
      <c r="Q46" s="9">
        <v>24.267600000000002</v>
      </c>
      <c r="R46" s="9"/>
      <c r="S46" s="11"/>
    </row>
    <row r="47" spans="1:19" ht="15" customHeight="1">
      <c r="A47" s="13">
        <v>42917</v>
      </c>
      <c r="B47" s="8">
        <f>CHOOSE( CONTROL!$C$32, 3.3232, 3.3176) * CHOOSE(CONTROL!$C$15, $D$11, 100%, $F$11)</f>
        <v>3.3231999999999999</v>
      </c>
      <c r="C47" s="8">
        <f>CHOOSE( CONTROL!$C$32, 3.3313, 3.3257) * CHOOSE(CONTROL!$C$15, $D$11, 100%, $F$11)</f>
        <v>3.3313000000000001</v>
      </c>
      <c r="D47" s="8">
        <f>CHOOSE( CONTROL!$C$32, 3.3367, 3.3311) * CHOOSE( CONTROL!$C$15, $D$11, 100%, $F$11)</f>
        <v>3.3367</v>
      </c>
      <c r="E47" s="12">
        <f>CHOOSE( CONTROL!$C$32, 3.3335, 3.3279) * CHOOSE( CONTROL!$C$15, $D$11, 100%, $F$11)</f>
        <v>3.3334999999999999</v>
      </c>
      <c r="F47" s="4">
        <f>CHOOSE( CONTROL!$C$32, 4.0356, 4.03) * CHOOSE(CONTROL!$C$15, $D$11, 100%, $F$11)</f>
        <v>4.0355999999999996</v>
      </c>
      <c r="G47" s="8">
        <f>CHOOSE( CONTROL!$C$32, 3.232, 3.2266) * CHOOSE( CONTROL!$C$15, $D$11, 100%, $F$11)</f>
        <v>3.2320000000000002</v>
      </c>
      <c r="H47" s="4">
        <f>CHOOSE( CONTROL!$C$32, 4.1763, 4.1709) * CHOOSE(CONTROL!$C$15, $D$11, 100%, $F$11)</f>
        <v>4.1763000000000003</v>
      </c>
      <c r="I47" s="8">
        <f>CHOOSE( CONTROL!$C$32, 3.277, 3.2716) * CHOOSE(CONTROL!$C$15, $D$11, 100%, $F$11)</f>
        <v>3.2770000000000001</v>
      </c>
      <c r="J47" s="4">
        <f>CHOOSE( CONTROL!$C$32, 3.1613, 3.156) * CHOOSE(CONTROL!$C$15, $D$11, 100%, $F$11)</f>
        <v>3.1613000000000002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2.1017999999999999</v>
      </c>
      <c r="Q47" s="9">
        <v>25.076499999999999</v>
      </c>
      <c r="R47" s="9"/>
      <c r="S47" s="11"/>
    </row>
    <row r="48" spans="1:19" ht="15" customHeight="1">
      <c r="A48" s="13">
        <v>42948</v>
      </c>
      <c r="B48" s="8">
        <f>CHOOSE( CONTROL!$C$32, 3.3346, 3.3291) * CHOOSE(CONTROL!$C$15, $D$11, 100%, $F$11)</f>
        <v>3.3346</v>
      </c>
      <c r="C48" s="8">
        <f>CHOOSE( CONTROL!$C$32, 3.3427, 3.3371) * CHOOSE(CONTROL!$C$15, $D$11, 100%, $F$11)</f>
        <v>3.3426999999999998</v>
      </c>
      <c r="D48" s="8">
        <f>CHOOSE( CONTROL!$C$32, 3.3482, 3.3427) * CHOOSE( CONTROL!$C$15, $D$11, 100%, $F$11)</f>
        <v>3.3481999999999998</v>
      </c>
      <c r="E48" s="12">
        <f>CHOOSE( CONTROL!$C$32, 3.345, 3.3395) * CHOOSE( CONTROL!$C$15, $D$11, 100%, $F$11)</f>
        <v>3.3450000000000002</v>
      </c>
      <c r="F48" s="4">
        <f>CHOOSE( CONTROL!$C$32, 4.047, 4.0414) * CHOOSE(CONTROL!$C$15, $D$11, 100%, $F$11)</f>
        <v>4.0469999999999997</v>
      </c>
      <c r="G48" s="8">
        <f>CHOOSE( CONTROL!$C$32, 3.2433, 3.2378) * CHOOSE( CONTROL!$C$15, $D$11, 100%, $F$11)</f>
        <v>3.2433000000000001</v>
      </c>
      <c r="H48" s="4">
        <f>CHOOSE( CONTROL!$C$32, 4.1875, 4.1821) * CHOOSE(CONTROL!$C$15, $D$11, 100%, $F$11)</f>
        <v>4.1875</v>
      </c>
      <c r="I48" s="8">
        <f>CHOOSE( CONTROL!$C$32, 3.2882, 3.2829) * CHOOSE(CONTROL!$C$15, $D$11, 100%, $F$11)</f>
        <v>3.2881999999999998</v>
      </c>
      <c r="J48" s="4">
        <f>CHOOSE( CONTROL!$C$32, 3.1723, 3.167) * CHOOSE(CONTROL!$C$15, $D$11, 100%, $F$11)</f>
        <v>3.1722999999999999</v>
      </c>
      <c r="K48" s="4"/>
      <c r="L48" s="9">
        <v>30.7165</v>
      </c>
      <c r="M48" s="9">
        <v>12.063700000000001</v>
      </c>
      <c r="N48" s="9">
        <v>4.9444999999999997</v>
      </c>
      <c r="O48" s="9">
        <v>0.37409999999999999</v>
      </c>
      <c r="P48" s="9">
        <v>2.1017999999999999</v>
      </c>
      <c r="Q48" s="9">
        <v>25.076499999999999</v>
      </c>
      <c r="R48" s="9"/>
      <c r="S48" s="11"/>
    </row>
    <row r="49" spans="1:19" ht="15" customHeight="1">
      <c r="A49" s="13">
        <v>42979</v>
      </c>
      <c r="B49" s="8">
        <f>CHOOSE( CONTROL!$C$32, 3.3242, 3.3186) * CHOOSE(CONTROL!$C$15, $D$11, 100%, $F$11)</f>
        <v>3.3241999999999998</v>
      </c>
      <c r="C49" s="8">
        <f>CHOOSE( CONTROL!$C$32, 3.3323, 3.3267) * CHOOSE(CONTROL!$C$15, $D$11, 100%, $F$11)</f>
        <v>3.3323</v>
      </c>
      <c r="D49" s="8">
        <f>CHOOSE( CONTROL!$C$32, 3.3377, 3.3322) * CHOOSE( CONTROL!$C$15, $D$11, 100%, $F$11)</f>
        <v>3.3376999999999999</v>
      </c>
      <c r="E49" s="12">
        <f>CHOOSE( CONTROL!$C$32, 3.3345, 3.329) * CHOOSE( CONTROL!$C$15, $D$11, 100%, $F$11)</f>
        <v>3.3344999999999998</v>
      </c>
      <c r="F49" s="4">
        <f>CHOOSE( CONTROL!$C$32, 4.0366, 4.031) * CHOOSE(CONTROL!$C$15, $D$11, 100%, $F$11)</f>
        <v>4.0366</v>
      </c>
      <c r="G49" s="8">
        <f>CHOOSE( CONTROL!$C$32, 3.233, 3.2276) * CHOOSE( CONTROL!$C$15, $D$11, 100%, $F$11)</f>
        <v>3.2330000000000001</v>
      </c>
      <c r="H49" s="4">
        <f>CHOOSE( CONTROL!$C$32, 4.1773, 4.1719) * CHOOSE(CONTROL!$C$15, $D$11, 100%, $F$11)</f>
        <v>4.1772999999999998</v>
      </c>
      <c r="I49" s="8">
        <f>CHOOSE( CONTROL!$C$32, 3.278, 3.2727) * CHOOSE(CONTROL!$C$15, $D$11, 100%, $F$11)</f>
        <v>3.278</v>
      </c>
      <c r="J49" s="4">
        <f>CHOOSE( CONTROL!$C$32, 3.1623, 3.157) * CHOOSE(CONTROL!$C$15, $D$11, 100%, $F$11)</f>
        <v>3.1623000000000001</v>
      </c>
      <c r="K49" s="4"/>
      <c r="L49" s="9">
        <v>29.7257</v>
      </c>
      <c r="M49" s="9">
        <v>11.6745</v>
      </c>
      <c r="N49" s="9">
        <v>4.7850000000000001</v>
      </c>
      <c r="O49" s="9">
        <v>0.36199999999999999</v>
      </c>
      <c r="P49" s="9">
        <v>2.0339999999999998</v>
      </c>
      <c r="Q49" s="9">
        <v>24.267600000000002</v>
      </c>
      <c r="R49" s="9"/>
      <c r="S49" s="11"/>
    </row>
    <row r="50" spans="1:19" ht="15" customHeight="1">
      <c r="A50" s="13">
        <v>43009</v>
      </c>
      <c r="B50" s="8">
        <f>3.3419 * CHOOSE(CONTROL!$C$15, $D$11, 100%, $F$11)</f>
        <v>3.3418999999999999</v>
      </c>
      <c r="C50" s="8">
        <f>3.3474 * CHOOSE(CONTROL!$C$15, $D$11, 100%, $F$11)</f>
        <v>3.3473999999999999</v>
      </c>
      <c r="D50" s="8">
        <f>3.3572 * CHOOSE( CONTROL!$C$15, $D$11, 100%, $F$11)</f>
        <v>3.3572000000000002</v>
      </c>
      <c r="E50" s="12">
        <f>3.3534 * CHOOSE( CONTROL!$C$15, $D$11, 100%, $F$11)</f>
        <v>3.3534000000000002</v>
      </c>
      <c r="F50" s="4">
        <f>4.056 * CHOOSE(CONTROL!$C$15, $D$11, 100%, $F$11)</f>
        <v>4.056</v>
      </c>
      <c r="G50" s="8">
        <f>3.2511 * CHOOSE( CONTROL!$C$15, $D$11, 100%, $F$11)</f>
        <v>3.2511000000000001</v>
      </c>
      <c r="H50" s="4">
        <f>4.1963 * CHOOSE(CONTROL!$C$15, $D$11, 100%, $F$11)</f>
        <v>4.1962999999999999</v>
      </c>
      <c r="I50" s="8">
        <f>3.2975 * CHOOSE(CONTROL!$C$15, $D$11, 100%, $F$11)</f>
        <v>3.2974999999999999</v>
      </c>
      <c r="J50" s="4">
        <f>3.181 * CHOOSE(CONTROL!$C$15, $D$11, 100%, $F$11)</f>
        <v>3.181</v>
      </c>
      <c r="K50" s="4"/>
      <c r="L50" s="9">
        <v>31.095300000000002</v>
      </c>
      <c r="M50" s="9">
        <v>12.063700000000001</v>
      </c>
      <c r="N50" s="9">
        <v>4.9444999999999997</v>
      </c>
      <c r="O50" s="9">
        <v>0.37409999999999999</v>
      </c>
      <c r="P50" s="9">
        <v>2.1017999999999999</v>
      </c>
      <c r="Q50" s="9">
        <v>25.076499999999999</v>
      </c>
      <c r="R50" s="9"/>
      <c r="S50" s="11"/>
    </row>
    <row r="51" spans="1:19" ht="15" customHeight="1">
      <c r="A51" s="13">
        <v>43040</v>
      </c>
      <c r="B51" s="8">
        <f>3.4248 * CHOOSE(CONTROL!$C$15, $D$11, 100%, $F$11)</f>
        <v>3.4247999999999998</v>
      </c>
      <c r="C51" s="8">
        <f>3.43 * CHOOSE(CONTROL!$C$15, $D$11, 100%, $F$11)</f>
        <v>3.43</v>
      </c>
      <c r="D51" s="8">
        <f>3.4162 * CHOOSE( CONTROL!$C$15, $D$11, 100%, $F$11)</f>
        <v>3.4161999999999999</v>
      </c>
      <c r="E51" s="12">
        <f>3.4207 * CHOOSE( CONTROL!$C$15, $D$11, 100%, $F$11)</f>
        <v>3.4207000000000001</v>
      </c>
      <c r="F51" s="4">
        <f>4.0753 * CHOOSE(CONTROL!$C$15, $D$11, 100%, $F$11)</f>
        <v>4.0753000000000004</v>
      </c>
      <c r="G51" s="8">
        <f>3.3401 * CHOOSE( CONTROL!$C$15, $D$11, 100%, $F$11)</f>
        <v>3.3401000000000001</v>
      </c>
      <c r="H51" s="4">
        <f>4.2151 * CHOOSE(CONTROL!$C$15, $D$11, 100%, $F$11)</f>
        <v>4.2150999999999996</v>
      </c>
      <c r="I51" s="8">
        <f>3.4212 * CHOOSE(CONTROL!$C$15, $D$11, 100%, $F$11)</f>
        <v>3.4211999999999998</v>
      </c>
      <c r="J51" s="4">
        <f>3.261 * CHOOSE(CONTROL!$C$15, $D$11, 100%, $F$11)</f>
        <v>3.2610000000000001</v>
      </c>
      <c r="K51" s="4"/>
      <c r="L51" s="9">
        <v>28.360600000000002</v>
      </c>
      <c r="M51" s="9">
        <v>11.6745</v>
      </c>
      <c r="N51" s="9">
        <v>4.7850000000000001</v>
      </c>
      <c r="O51" s="9">
        <v>0.36199999999999999</v>
      </c>
      <c r="P51" s="9">
        <v>1.2509999999999999</v>
      </c>
      <c r="Q51" s="9">
        <v>24.267600000000002</v>
      </c>
      <c r="R51" s="9"/>
      <c r="S51" s="11"/>
    </row>
    <row r="52" spans="1:19" ht="15" customHeight="1">
      <c r="A52" s="13">
        <v>43070</v>
      </c>
      <c r="B52" s="8">
        <f>3.5967 * CHOOSE(CONTROL!$C$15, $D$11, 100%, $F$11)</f>
        <v>3.5966999999999998</v>
      </c>
      <c r="C52" s="8">
        <f>3.6019 * CHOOSE(CONTROL!$C$15, $D$11, 100%, $F$11)</f>
        <v>3.6019000000000001</v>
      </c>
      <c r="D52" s="8">
        <f>3.5896 * CHOOSE( CONTROL!$C$15, $D$11, 100%, $F$11)</f>
        <v>3.5895999999999999</v>
      </c>
      <c r="E52" s="12">
        <f>3.5935 * CHOOSE( CONTROL!$C$15, $D$11, 100%, $F$11)</f>
        <v>3.5935000000000001</v>
      </c>
      <c r="F52" s="4">
        <f>4.2472 * CHOOSE(CONTROL!$C$15, $D$11, 100%, $F$11)</f>
        <v>4.2472000000000003</v>
      </c>
      <c r="G52" s="8">
        <f>3.5091 * CHOOSE( CONTROL!$C$15, $D$11, 100%, $F$11)</f>
        <v>3.5091000000000001</v>
      </c>
      <c r="H52" s="4">
        <f>4.383 * CHOOSE(CONTROL!$C$15, $D$11, 100%, $F$11)</f>
        <v>4.383</v>
      </c>
      <c r="I52" s="8">
        <f>3.591 * CHOOSE(CONTROL!$C$15, $D$11, 100%, $F$11)</f>
        <v>3.5910000000000002</v>
      </c>
      <c r="J52" s="4">
        <f>3.426 * CHOOSE(CONTROL!$C$15, $D$11, 100%, $F$11)</f>
        <v>3.4260000000000002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1.2927</v>
      </c>
      <c r="Q52" s="9">
        <v>25.076499999999999</v>
      </c>
      <c r="R52" s="9"/>
      <c r="S52" s="11"/>
    </row>
    <row r="53" spans="1:19" ht="15" customHeight="1">
      <c r="A53" s="13">
        <v>43101</v>
      </c>
      <c r="B53" s="8">
        <f>4.1838 * CHOOSE(CONTROL!$C$15, $D$11, 100%, $F$11)</f>
        <v>4.1837999999999997</v>
      </c>
      <c r="C53" s="8">
        <f>4.189 * CHOOSE(CONTROL!$C$15, $D$11, 100%, $F$11)</f>
        <v>4.1890000000000001</v>
      </c>
      <c r="D53" s="8">
        <f>4.1714 * CHOOSE( CONTROL!$C$15, $D$11, 100%, $F$11)</f>
        <v>4.1714000000000002</v>
      </c>
      <c r="E53" s="12">
        <f>4.1773 * CHOOSE( CONTROL!$C$15, $D$11, 100%, $F$11)</f>
        <v>4.1772999999999998</v>
      </c>
      <c r="F53" s="4">
        <f>4.8342 * CHOOSE(CONTROL!$C$15, $D$11, 100%, $F$11)</f>
        <v>4.8342000000000001</v>
      </c>
      <c r="G53" s="8">
        <f>4.0724 * CHOOSE( CONTROL!$C$15, $D$11, 100%, $F$11)</f>
        <v>4.0724</v>
      </c>
      <c r="H53" s="4">
        <f>4.9564 * CHOOSE(CONTROL!$C$15, $D$11, 100%, $F$11)</f>
        <v>4.9564000000000004</v>
      </c>
      <c r="I53" s="8">
        <f>4.1148 * CHOOSE(CONTROL!$C$15, $D$11, 100%, $F$11)</f>
        <v>4.1147999999999998</v>
      </c>
      <c r="J53" s="4">
        <f>3.9897 * CHOOSE(CONTROL!$C$15, $D$11, 100%, $F$11)</f>
        <v>3.9897</v>
      </c>
      <c r="K53" s="4"/>
      <c r="L53" s="9">
        <v>29.306000000000001</v>
      </c>
      <c r="M53" s="9">
        <v>12.063700000000001</v>
      </c>
      <c r="N53" s="9">
        <v>4.9444999999999997</v>
      </c>
      <c r="O53" s="9">
        <v>0.37409999999999999</v>
      </c>
      <c r="P53" s="9">
        <v>1.2927</v>
      </c>
      <c r="Q53" s="9">
        <v>24.901700000000002</v>
      </c>
      <c r="R53" s="9"/>
      <c r="S53" s="11"/>
    </row>
    <row r="54" spans="1:19" ht="15" customHeight="1">
      <c r="A54" s="13">
        <v>43132</v>
      </c>
      <c r="B54" s="8">
        <f>3.9151 * CHOOSE(CONTROL!$C$15, $D$11, 100%, $F$11)</f>
        <v>3.9150999999999998</v>
      </c>
      <c r="C54" s="8">
        <f>3.9203 * CHOOSE(CONTROL!$C$15, $D$11, 100%, $F$11)</f>
        <v>3.9203000000000001</v>
      </c>
      <c r="D54" s="8">
        <f>3.9027 * CHOOSE( CONTROL!$C$15, $D$11, 100%, $F$11)</f>
        <v>3.9026999999999998</v>
      </c>
      <c r="E54" s="12">
        <f>3.9086 * CHOOSE( CONTROL!$C$15, $D$11, 100%, $F$11)</f>
        <v>3.9085999999999999</v>
      </c>
      <c r="F54" s="4">
        <f>4.5656 * CHOOSE(CONTROL!$C$15, $D$11, 100%, $F$11)</f>
        <v>4.5655999999999999</v>
      </c>
      <c r="G54" s="8">
        <f>3.81 * CHOOSE( CONTROL!$C$15, $D$11, 100%, $F$11)</f>
        <v>3.81</v>
      </c>
      <c r="H54" s="4">
        <f>4.694 * CHOOSE(CONTROL!$C$15, $D$11, 100%, $F$11)</f>
        <v>4.694</v>
      </c>
      <c r="I54" s="8">
        <f>3.8566 * CHOOSE(CONTROL!$C$15, $D$11, 100%, $F$11)</f>
        <v>3.8565999999999998</v>
      </c>
      <c r="J54" s="4">
        <f>3.7317 * CHOOSE(CONTROL!$C$15, $D$11, 100%, $F$11)</f>
        <v>3.7317</v>
      </c>
      <c r="K54" s="4"/>
      <c r="L54" s="9">
        <v>26.469899999999999</v>
      </c>
      <c r="M54" s="9">
        <v>10.8962</v>
      </c>
      <c r="N54" s="9">
        <v>4.4660000000000002</v>
      </c>
      <c r="O54" s="9">
        <v>0.33789999999999998</v>
      </c>
      <c r="P54" s="9">
        <v>1.1676</v>
      </c>
      <c r="Q54" s="9">
        <v>22.491800000000001</v>
      </c>
      <c r="R54" s="9"/>
      <c r="S54" s="11"/>
    </row>
    <row r="55" spans="1:19" ht="15" customHeight="1">
      <c r="A55" s="13">
        <v>43160</v>
      </c>
      <c r="B55" s="8">
        <f>3.8324 * CHOOSE(CONTROL!$C$15, $D$11, 100%, $F$11)</f>
        <v>3.8323999999999998</v>
      </c>
      <c r="C55" s="8">
        <f>3.8376 * CHOOSE(CONTROL!$C$15, $D$11, 100%, $F$11)</f>
        <v>3.8376000000000001</v>
      </c>
      <c r="D55" s="8">
        <f>3.8196 * CHOOSE( CONTROL!$C$15, $D$11, 100%, $F$11)</f>
        <v>3.8195999999999999</v>
      </c>
      <c r="E55" s="12">
        <f>3.8256 * CHOOSE( CONTROL!$C$15, $D$11, 100%, $F$11)</f>
        <v>3.8256000000000001</v>
      </c>
      <c r="F55" s="4">
        <f>4.4829 * CHOOSE(CONTROL!$C$15, $D$11, 100%, $F$11)</f>
        <v>4.4828999999999999</v>
      </c>
      <c r="G55" s="8">
        <f>3.7289 * CHOOSE( CONTROL!$C$15, $D$11, 100%, $F$11)</f>
        <v>3.7288999999999999</v>
      </c>
      <c r="H55" s="4">
        <f>4.6132 * CHOOSE(CONTROL!$C$15, $D$11, 100%, $F$11)</f>
        <v>4.6132</v>
      </c>
      <c r="I55" s="8">
        <f>3.776 * CHOOSE(CONTROL!$C$15, $D$11, 100%, $F$11)</f>
        <v>3.7759999999999998</v>
      </c>
      <c r="J55" s="4">
        <f>3.6523 * CHOOSE(CONTROL!$C$15, $D$11, 100%, $F$11)</f>
        <v>3.6522999999999999</v>
      </c>
      <c r="K55" s="4"/>
      <c r="L55" s="9">
        <v>29.306000000000001</v>
      </c>
      <c r="M55" s="9">
        <v>12.063700000000001</v>
      </c>
      <c r="N55" s="9">
        <v>4.9444999999999997</v>
      </c>
      <c r="O55" s="9">
        <v>0.37409999999999999</v>
      </c>
      <c r="P55" s="9">
        <v>1.2927</v>
      </c>
      <c r="Q55" s="9">
        <v>24.901700000000002</v>
      </c>
      <c r="R55" s="9"/>
      <c r="S55" s="11"/>
    </row>
    <row r="56" spans="1:19" ht="15" customHeight="1">
      <c r="A56" s="13">
        <v>43191</v>
      </c>
      <c r="B56" s="8">
        <f>3.891 * CHOOSE(CONTROL!$C$15, $D$11, 100%, $F$11)</f>
        <v>3.891</v>
      </c>
      <c r="C56" s="8">
        <f>3.8956 * CHOOSE(CONTROL!$C$15, $D$11, 100%, $F$11)</f>
        <v>3.8956</v>
      </c>
      <c r="D56" s="8">
        <f>3.9267 * CHOOSE( CONTROL!$C$15, $D$11, 100%, $F$11)</f>
        <v>3.9266999999999999</v>
      </c>
      <c r="E56" s="12">
        <f>3.9159 * CHOOSE( CONTROL!$C$15, $D$11, 100%, $F$11)</f>
        <v>3.9159000000000002</v>
      </c>
      <c r="F56" s="4">
        <f>4.6047 * CHOOSE(CONTROL!$C$15, $D$11, 100%, $F$11)</f>
        <v>4.6047000000000002</v>
      </c>
      <c r="G56" s="8">
        <f>3.7862 * CHOOSE( CONTROL!$C$15, $D$11, 100%, $F$11)</f>
        <v>3.7862</v>
      </c>
      <c r="H56" s="4">
        <f>4.7322 * CHOOSE(CONTROL!$C$15, $D$11, 100%, $F$11)</f>
        <v>4.7321999999999997</v>
      </c>
      <c r="I56" s="8">
        <f>3.822 * CHOOSE(CONTROL!$C$15, $D$11, 100%, $F$11)</f>
        <v>3.8220000000000001</v>
      </c>
      <c r="J56" s="4">
        <f>3.7078 * CHOOSE(CONTROL!$C$15, $D$11, 100%, $F$11)</f>
        <v>3.7078000000000002</v>
      </c>
      <c r="K56" s="4"/>
      <c r="L56" s="9">
        <v>30.092199999999998</v>
      </c>
      <c r="M56" s="9">
        <v>11.6745</v>
      </c>
      <c r="N56" s="9">
        <v>4.7850000000000001</v>
      </c>
      <c r="O56" s="9">
        <v>0.36199999999999999</v>
      </c>
      <c r="P56" s="9">
        <v>1.1791</v>
      </c>
      <c r="Q56" s="9">
        <v>24.098400000000002</v>
      </c>
      <c r="R56" s="9"/>
      <c r="S56" s="11"/>
    </row>
    <row r="57" spans="1:19" ht="15" customHeight="1">
      <c r="A57" s="13">
        <v>43221</v>
      </c>
      <c r="B57" s="8">
        <f>CHOOSE( CONTROL!$C$32, 4.0008, 3.9952) * CHOOSE(CONTROL!$C$15, $D$11, 100%, $F$11)</f>
        <v>4.0007999999999999</v>
      </c>
      <c r="C57" s="8">
        <f>CHOOSE( CONTROL!$C$32, 4.0089, 4.0033) * CHOOSE(CONTROL!$C$15, $D$11, 100%, $F$11)</f>
        <v>4.0088999999999997</v>
      </c>
      <c r="D57" s="8">
        <f>CHOOSE( CONTROL!$C$32, 4.0349, 4.0293) * CHOOSE( CONTROL!$C$15, $D$11, 100%, $F$11)</f>
        <v>4.0349000000000004</v>
      </c>
      <c r="E57" s="12">
        <f>CHOOSE( CONTROL!$C$32, 4.0242, 4.0186) * CHOOSE( CONTROL!$C$15, $D$11, 100%, $F$11)</f>
        <v>4.0242000000000004</v>
      </c>
      <c r="F57" s="4">
        <f>CHOOSE( CONTROL!$C$32, 4.7132, 4.7076) * CHOOSE(CONTROL!$C$15, $D$11, 100%, $F$11)</f>
        <v>4.7131999999999996</v>
      </c>
      <c r="G57" s="8">
        <f>CHOOSE( CONTROL!$C$32, 3.8933, 3.8879) * CHOOSE( CONTROL!$C$15, $D$11, 100%, $F$11)</f>
        <v>3.8933</v>
      </c>
      <c r="H57" s="4">
        <f>CHOOSE( CONTROL!$C$32, 4.8382, 4.8327) * CHOOSE(CONTROL!$C$15, $D$11, 100%, $F$11)</f>
        <v>4.8381999999999996</v>
      </c>
      <c r="I57" s="8">
        <f>CHOOSE( CONTROL!$C$32, 3.9261, 3.9208) * CHOOSE(CONTROL!$C$15, $D$11, 100%, $F$11)</f>
        <v>3.9260999999999999</v>
      </c>
      <c r="J57" s="4">
        <f>CHOOSE( CONTROL!$C$32, 3.812, 3.8066) * CHOOSE(CONTROL!$C$15, $D$11, 100%, $F$11)</f>
        <v>3.8119999999999998</v>
      </c>
      <c r="K57" s="4"/>
      <c r="L57" s="9">
        <v>30.7165</v>
      </c>
      <c r="M57" s="9">
        <v>12.063700000000001</v>
      </c>
      <c r="N57" s="9">
        <v>4.9444999999999997</v>
      </c>
      <c r="O57" s="9">
        <v>0.37409999999999999</v>
      </c>
      <c r="P57" s="9">
        <v>1.2183999999999999</v>
      </c>
      <c r="Q57" s="9">
        <v>24.901700000000002</v>
      </c>
      <c r="R57" s="9"/>
      <c r="S57" s="11"/>
    </row>
    <row r="58" spans="1:19" ht="15" customHeight="1">
      <c r="A58" s="13">
        <v>43252</v>
      </c>
      <c r="B58" s="8">
        <f>CHOOSE( CONTROL!$C$32, 3.9371, 3.9315) * CHOOSE(CONTROL!$C$15, $D$11, 100%, $F$11)</f>
        <v>3.9371</v>
      </c>
      <c r="C58" s="8">
        <f>CHOOSE( CONTROL!$C$32, 3.9452, 3.9396) * CHOOSE(CONTROL!$C$15, $D$11, 100%, $F$11)</f>
        <v>3.9451999999999998</v>
      </c>
      <c r="D58" s="8">
        <f>CHOOSE( CONTROL!$C$32, 3.9713, 3.9657) * CHOOSE( CONTROL!$C$15, $D$11, 100%, $F$11)</f>
        <v>3.9712999999999998</v>
      </c>
      <c r="E58" s="12">
        <f>CHOOSE( CONTROL!$C$32, 3.9606, 3.955) * CHOOSE( CONTROL!$C$15, $D$11, 100%, $F$11)</f>
        <v>3.9605999999999999</v>
      </c>
      <c r="F58" s="4">
        <f>CHOOSE( CONTROL!$C$32, 4.6495, 4.6439) * CHOOSE(CONTROL!$C$15, $D$11, 100%, $F$11)</f>
        <v>4.6494999999999997</v>
      </c>
      <c r="G58" s="8">
        <f>CHOOSE( CONTROL!$C$32, 3.8313, 3.8259) * CHOOSE( CONTROL!$C$15, $D$11, 100%, $F$11)</f>
        <v>3.8313000000000001</v>
      </c>
      <c r="H58" s="4">
        <f>CHOOSE( CONTROL!$C$32, 4.7759, 4.7705) * CHOOSE(CONTROL!$C$15, $D$11, 100%, $F$11)</f>
        <v>4.7759</v>
      </c>
      <c r="I58" s="8">
        <f>CHOOSE( CONTROL!$C$32, 3.8657, 3.8604) * CHOOSE(CONTROL!$C$15, $D$11, 100%, $F$11)</f>
        <v>3.8656999999999999</v>
      </c>
      <c r="J58" s="4">
        <f>CHOOSE( CONTROL!$C$32, 3.7508, 3.7454) * CHOOSE(CONTROL!$C$15, $D$11, 100%, $F$11)</f>
        <v>3.7507999999999999</v>
      </c>
      <c r="K58" s="4"/>
      <c r="L58" s="9">
        <v>29.7257</v>
      </c>
      <c r="M58" s="9">
        <v>11.6745</v>
      </c>
      <c r="N58" s="9">
        <v>4.7850000000000001</v>
      </c>
      <c r="O58" s="9">
        <v>0.36199999999999999</v>
      </c>
      <c r="P58" s="9">
        <v>1.1791</v>
      </c>
      <c r="Q58" s="9">
        <v>24.098400000000002</v>
      </c>
      <c r="R58" s="9"/>
      <c r="S58" s="11"/>
    </row>
    <row r="59" spans="1:19" ht="15" customHeight="1">
      <c r="A59" s="13">
        <v>43282</v>
      </c>
      <c r="B59" s="8">
        <f>CHOOSE( CONTROL!$C$32, 4.1049, 4.0994) * CHOOSE(CONTROL!$C$15, $D$11, 100%, $F$11)</f>
        <v>4.1048999999999998</v>
      </c>
      <c r="C59" s="8">
        <f>CHOOSE( CONTROL!$C$32, 4.113, 4.1074) * CHOOSE(CONTROL!$C$15, $D$11, 100%, $F$11)</f>
        <v>4.1130000000000004</v>
      </c>
      <c r="D59" s="8">
        <f>CHOOSE( CONTROL!$C$32, 4.1394, 4.1338) * CHOOSE( CONTROL!$C$15, $D$11, 100%, $F$11)</f>
        <v>4.1394000000000002</v>
      </c>
      <c r="E59" s="12">
        <f>CHOOSE( CONTROL!$C$32, 4.1286, 4.123) * CHOOSE( CONTROL!$C$15, $D$11, 100%, $F$11)</f>
        <v>4.1285999999999996</v>
      </c>
      <c r="F59" s="4">
        <f>CHOOSE( CONTROL!$C$32, 4.8173, 4.8118) * CHOOSE(CONTROL!$C$15, $D$11, 100%, $F$11)</f>
        <v>4.8173000000000004</v>
      </c>
      <c r="G59" s="8">
        <f>CHOOSE( CONTROL!$C$32, 3.9955, 3.9901) * CHOOSE( CONTROL!$C$15, $D$11, 100%, $F$11)</f>
        <v>3.9954999999999998</v>
      </c>
      <c r="H59" s="4">
        <f>CHOOSE( CONTROL!$C$32, 4.9399, 4.9344) * CHOOSE(CONTROL!$C$15, $D$11, 100%, $F$11)</f>
        <v>4.9398999999999997</v>
      </c>
      <c r="I59" s="8">
        <f>CHOOSE( CONTROL!$C$32, 4.0279, 4.0226) * CHOOSE(CONTROL!$C$15, $D$11, 100%, $F$11)</f>
        <v>4.0278999999999998</v>
      </c>
      <c r="J59" s="4">
        <f>CHOOSE( CONTROL!$C$32, 3.9119, 3.9066) * CHOOSE(CONTROL!$C$15, $D$11, 100%, $F$11)</f>
        <v>3.9119000000000002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1.2183999999999999</v>
      </c>
      <c r="Q59" s="9">
        <v>24.901700000000002</v>
      </c>
      <c r="R59" s="9"/>
      <c r="S59" s="11"/>
    </row>
    <row r="60" spans="1:19" ht="15" customHeight="1">
      <c r="A60" s="13">
        <v>43313</v>
      </c>
      <c r="B60" s="8">
        <f>CHOOSE( CONTROL!$C$32, 3.7908, 3.7853) * CHOOSE(CONTROL!$C$15, $D$11, 100%, $F$11)</f>
        <v>3.7907999999999999</v>
      </c>
      <c r="C60" s="8">
        <f>CHOOSE( CONTROL!$C$32, 3.7989, 3.7934) * CHOOSE(CONTROL!$C$15, $D$11, 100%, $F$11)</f>
        <v>3.7989000000000002</v>
      </c>
      <c r="D60" s="8">
        <f>CHOOSE( CONTROL!$C$32, 3.8253, 3.8198) * CHOOSE( CONTROL!$C$15, $D$11, 100%, $F$11)</f>
        <v>3.8252999999999999</v>
      </c>
      <c r="E60" s="12">
        <f>CHOOSE( CONTROL!$C$32, 3.8145, 3.809) * CHOOSE( CONTROL!$C$15, $D$11, 100%, $F$11)</f>
        <v>3.8144999999999998</v>
      </c>
      <c r="F60" s="4">
        <f>CHOOSE( CONTROL!$C$32, 4.5032, 4.4977) * CHOOSE(CONTROL!$C$15, $D$11, 100%, $F$11)</f>
        <v>4.5031999999999996</v>
      </c>
      <c r="G60" s="8">
        <f>CHOOSE( CONTROL!$C$32, 3.6889, 3.6834) * CHOOSE( CONTROL!$C$15, $D$11, 100%, $F$11)</f>
        <v>3.6888999999999998</v>
      </c>
      <c r="H60" s="4">
        <f>CHOOSE( CONTROL!$C$32, 4.6331, 4.6276) * CHOOSE(CONTROL!$C$15, $D$11, 100%, $F$11)</f>
        <v>4.6330999999999998</v>
      </c>
      <c r="I60" s="8">
        <f>CHOOSE( CONTROL!$C$32, 3.7265, 3.7211) * CHOOSE(CONTROL!$C$15, $D$11, 100%, $F$11)</f>
        <v>3.7265000000000001</v>
      </c>
      <c r="J60" s="4">
        <f>CHOOSE( CONTROL!$C$32, 3.6104, 3.605) * CHOOSE(CONTROL!$C$15, $D$11, 100%, $F$11)</f>
        <v>3.6103999999999998</v>
      </c>
      <c r="K60" s="4"/>
      <c r="L60" s="9">
        <v>30.7165</v>
      </c>
      <c r="M60" s="9">
        <v>12.063700000000001</v>
      </c>
      <c r="N60" s="9">
        <v>4.9444999999999997</v>
      </c>
      <c r="O60" s="9">
        <v>0.37409999999999999</v>
      </c>
      <c r="P60" s="9">
        <v>1.2183999999999999</v>
      </c>
      <c r="Q60" s="9">
        <v>24.901700000000002</v>
      </c>
      <c r="R60" s="9"/>
      <c r="S60" s="11"/>
    </row>
    <row r="61" spans="1:19" ht="15" customHeight="1">
      <c r="A61" s="13">
        <v>43344</v>
      </c>
      <c r="B61" s="8">
        <f>CHOOSE( CONTROL!$C$32, 3.7122, 3.7066) * CHOOSE(CONTROL!$C$15, $D$11, 100%, $F$11)</f>
        <v>3.7122000000000002</v>
      </c>
      <c r="C61" s="8">
        <f>CHOOSE( CONTROL!$C$32, 3.7203, 3.7147) * CHOOSE(CONTROL!$C$15, $D$11, 100%, $F$11)</f>
        <v>3.7202999999999999</v>
      </c>
      <c r="D61" s="8">
        <f>CHOOSE( CONTROL!$C$32, 3.7466, 3.7411) * CHOOSE( CONTROL!$C$15, $D$11, 100%, $F$11)</f>
        <v>3.7465999999999999</v>
      </c>
      <c r="E61" s="12">
        <f>CHOOSE( CONTROL!$C$32, 3.7358, 3.7303) * CHOOSE( CONTROL!$C$15, $D$11, 100%, $F$11)</f>
        <v>3.7357999999999998</v>
      </c>
      <c r="F61" s="4">
        <f>CHOOSE( CONTROL!$C$32, 4.4246, 4.419) * CHOOSE(CONTROL!$C$15, $D$11, 100%, $F$11)</f>
        <v>4.4245999999999999</v>
      </c>
      <c r="G61" s="8">
        <f>CHOOSE( CONTROL!$C$32, 3.612, 3.6065) * CHOOSE( CONTROL!$C$15, $D$11, 100%, $F$11)</f>
        <v>3.6120000000000001</v>
      </c>
      <c r="H61" s="4">
        <f>CHOOSE( CONTROL!$C$32, 4.5563, 4.5508) * CHOOSE(CONTROL!$C$15, $D$11, 100%, $F$11)</f>
        <v>4.5563000000000002</v>
      </c>
      <c r="I61" s="8">
        <f>CHOOSE( CONTROL!$C$32, 3.6507, 3.6454) * CHOOSE(CONTROL!$C$15, $D$11, 100%, $F$11)</f>
        <v>3.6507000000000001</v>
      </c>
      <c r="J61" s="4">
        <f>CHOOSE( CONTROL!$C$32, 3.5348, 3.5295) * CHOOSE(CONTROL!$C$15, $D$11, 100%, $F$11)</f>
        <v>3.5348000000000002</v>
      </c>
      <c r="K61" s="4"/>
      <c r="L61" s="9">
        <v>29.7257</v>
      </c>
      <c r="M61" s="9">
        <v>11.6745</v>
      </c>
      <c r="N61" s="9">
        <v>4.7850000000000001</v>
      </c>
      <c r="O61" s="9">
        <v>0.36199999999999999</v>
      </c>
      <c r="P61" s="9">
        <v>1.1791</v>
      </c>
      <c r="Q61" s="9">
        <v>24.098400000000002</v>
      </c>
      <c r="R61" s="9"/>
      <c r="S61" s="11"/>
    </row>
    <row r="62" spans="1:19" ht="15" customHeight="1">
      <c r="A62" s="13">
        <v>43374</v>
      </c>
      <c r="B62" s="8">
        <f>3.8682 * CHOOSE(CONTROL!$C$15, $D$11, 100%, $F$11)</f>
        <v>3.8681999999999999</v>
      </c>
      <c r="C62" s="8">
        <f>3.8736 * CHOOSE(CONTROL!$C$15, $D$11, 100%, $F$11)</f>
        <v>3.8736000000000002</v>
      </c>
      <c r="D62" s="8">
        <f>3.9048 * CHOOSE( CONTROL!$C$15, $D$11, 100%, $F$11)</f>
        <v>3.9047999999999998</v>
      </c>
      <c r="E62" s="12">
        <f>3.8939 * CHOOSE( CONTROL!$C$15, $D$11, 100%, $F$11)</f>
        <v>3.8938999999999999</v>
      </c>
      <c r="F62" s="4">
        <f>4.5823 * CHOOSE(CONTROL!$C$15, $D$11, 100%, $F$11)</f>
        <v>4.5823</v>
      </c>
      <c r="G62" s="8">
        <f>3.7652 * CHOOSE( CONTROL!$C$15, $D$11, 100%, $F$11)</f>
        <v>3.7652000000000001</v>
      </c>
      <c r="H62" s="4">
        <f>4.7103 * CHOOSE(CONTROL!$C$15, $D$11, 100%, $F$11)</f>
        <v>4.7103000000000002</v>
      </c>
      <c r="I62" s="8">
        <f>3.8031 * CHOOSE(CONTROL!$C$15, $D$11, 100%, $F$11)</f>
        <v>3.8031000000000001</v>
      </c>
      <c r="J62" s="4">
        <f>3.6863 * CHOOSE(CONTROL!$C$15, $D$11, 100%, $F$11)</f>
        <v>3.6863000000000001</v>
      </c>
      <c r="K62" s="4"/>
      <c r="L62" s="9">
        <v>31.095300000000002</v>
      </c>
      <c r="M62" s="9">
        <v>12.063700000000001</v>
      </c>
      <c r="N62" s="9">
        <v>4.9444999999999997</v>
      </c>
      <c r="O62" s="9">
        <v>0.37409999999999999</v>
      </c>
      <c r="P62" s="9">
        <v>1.2183999999999999</v>
      </c>
      <c r="Q62" s="9">
        <v>24.901700000000002</v>
      </c>
      <c r="R62" s="9"/>
      <c r="S62" s="11"/>
    </row>
    <row r="63" spans="1:19" ht="15" customHeight="1">
      <c r="A63" s="13">
        <v>43405</v>
      </c>
      <c r="B63" s="8">
        <f>4.1692 * CHOOSE(CONTROL!$C$15, $D$11, 100%, $F$11)</f>
        <v>4.1692</v>
      </c>
      <c r="C63" s="8">
        <f>4.1744 * CHOOSE(CONTROL!$C$15, $D$11, 100%, $F$11)</f>
        <v>4.1744000000000003</v>
      </c>
      <c r="D63" s="8">
        <f>4.1606 * CHOOSE( CONTROL!$C$15, $D$11, 100%, $F$11)</f>
        <v>4.1605999999999996</v>
      </c>
      <c r="E63" s="12">
        <f>4.1651 * CHOOSE( CONTROL!$C$15, $D$11, 100%, $F$11)</f>
        <v>4.1650999999999998</v>
      </c>
      <c r="F63" s="4">
        <f>4.8197 * CHOOSE(CONTROL!$C$15, $D$11, 100%, $F$11)</f>
        <v>4.8197000000000001</v>
      </c>
      <c r="G63" s="8">
        <f>4.0672 * CHOOSE( CONTROL!$C$15, $D$11, 100%, $F$11)</f>
        <v>4.0671999999999997</v>
      </c>
      <c r="H63" s="4">
        <f>4.9422 * CHOOSE(CONTROL!$C$15, $D$11, 100%, $F$11)</f>
        <v>4.9421999999999997</v>
      </c>
      <c r="I63" s="8">
        <f>4.1363 * CHOOSE(CONTROL!$C$15, $D$11, 100%, $F$11)</f>
        <v>4.1363000000000003</v>
      </c>
      <c r="J63" s="4">
        <f>3.9757 * CHOOSE(CONTROL!$C$15, $D$11, 100%, $F$11)</f>
        <v>3.9756999999999998</v>
      </c>
      <c r="K63" s="4"/>
      <c r="L63" s="9">
        <v>28.360600000000002</v>
      </c>
      <c r="M63" s="9">
        <v>11.6745</v>
      </c>
      <c r="N63" s="9">
        <v>4.7850000000000001</v>
      </c>
      <c r="O63" s="9">
        <v>0.36199999999999999</v>
      </c>
      <c r="P63" s="9">
        <v>1.2509999999999999</v>
      </c>
      <c r="Q63" s="9">
        <v>24.098400000000002</v>
      </c>
      <c r="R63" s="9"/>
      <c r="S63" s="11"/>
    </row>
    <row r="64" spans="1:19" ht="15" customHeight="1">
      <c r="A64" s="13">
        <v>43435</v>
      </c>
      <c r="B64" s="8">
        <f>4.1617 * CHOOSE(CONTROL!$C$15, $D$11, 100%, $F$11)</f>
        <v>4.1616999999999997</v>
      </c>
      <c r="C64" s="8">
        <f>4.1669 * CHOOSE(CONTROL!$C$15, $D$11, 100%, $F$11)</f>
        <v>4.1669</v>
      </c>
      <c r="D64" s="8">
        <f>4.1546 * CHOOSE( CONTROL!$C$15, $D$11, 100%, $F$11)</f>
        <v>4.1546000000000003</v>
      </c>
      <c r="E64" s="12">
        <f>4.1585 * CHOOSE( CONTROL!$C$15, $D$11, 100%, $F$11)</f>
        <v>4.1585000000000001</v>
      </c>
      <c r="F64" s="4">
        <f>4.8122 * CHOOSE(CONTROL!$C$15, $D$11, 100%, $F$11)</f>
        <v>4.8121999999999998</v>
      </c>
      <c r="G64" s="8">
        <f>4.0609 * CHOOSE( CONTROL!$C$15, $D$11, 100%, $F$11)</f>
        <v>4.0609000000000002</v>
      </c>
      <c r="H64" s="4">
        <f>4.9348 * CHOOSE(CONTROL!$C$15, $D$11, 100%, $F$11)</f>
        <v>4.9348000000000001</v>
      </c>
      <c r="I64" s="8">
        <f>4.1338 * CHOOSE(CONTROL!$C$15, $D$11, 100%, $F$11)</f>
        <v>4.1337999999999999</v>
      </c>
      <c r="J64" s="4">
        <f>3.9685 * CHOOSE(CONTROL!$C$15, $D$11, 100%, $F$11)</f>
        <v>3.9685000000000001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24.901700000000002</v>
      </c>
      <c r="R64" s="9"/>
      <c r="S64" s="11"/>
    </row>
    <row r="65" spans="1:19" ht="15" customHeight="1">
      <c r="A65" s="13">
        <v>43466</v>
      </c>
      <c r="B65" s="8">
        <f>4.4073 * CHOOSE(CONTROL!$C$15, $D$11, 100%, $F$11)</f>
        <v>4.4073000000000002</v>
      </c>
      <c r="C65" s="8">
        <f>4.4125 * CHOOSE(CONTROL!$C$15, $D$11, 100%, $F$11)</f>
        <v>4.4124999999999996</v>
      </c>
      <c r="D65" s="8">
        <f>4.3949 * CHOOSE( CONTROL!$C$15, $D$11, 100%, $F$11)</f>
        <v>4.3948999999999998</v>
      </c>
      <c r="E65" s="12">
        <f>4.4008 * CHOOSE( CONTROL!$C$15, $D$11, 100%, $F$11)</f>
        <v>4.4008000000000003</v>
      </c>
      <c r="F65" s="4">
        <f>5.0578 * CHOOSE(CONTROL!$C$15, $D$11, 100%, $F$11)</f>
        <v>5.0578000000000003</v>
      </c>
      <c r="G65" s="8">
        <f>4.2908 * CHOOSE( CONTROL!$C$15, $D$11, 100%, $F$11)</f>
        <v>4.2907999999999999</v>
      </c>
      <c r="H65" s="4">
        <f>5.1747 * CHOOSE(CONTROL!$C$15, $D$11, 100%, $F$11)</f>
        <v>5.1746999999999996</v>
      </c>
      <c r="I65" s="8">
        <f>4.3296 * CHOOSE(CONTROL!$C$15, $D$11, 100%, $F$11)</f>
        <v>4.3296000000000001</v>
      </c>
      <c r="J65" s="4">
        <f>4.2043 * CHOOSE(CONTROL!$C$15, $D$11, 100%, $F$11)</f>
        <v>4.2042999999999999</v>
      </c>
      <c r="K65" s="4"/>
      <c r="L65" s="9">
        <v>29.306000000000001</v>
      </c>
      <c r="M65" s="9">
        <v>12.063700000000001</v>
      </c>
      <c r="N65" s="9">
        <v>4.9444999999999997</v>
      </c>
      <c r="O65" s="9">
        <v>0.37409999999999999</v>
      </c>
      <c r="P65" s="9">
        <v>1.2927</v>
      </c>
      <c r="Q65" s="9">
        <v>24.651199999999999</v>
      </c>
      <c r="R65" s="9"/>
      <c r="S65" s="11"/>
    </row>
    <row r="66" spans="1:19" ht="15" customHeight="1">
      <c r="A66" s="13">
        <v>43497</v>
      </c>
      <c r="B66" s="8">
        <f>4.1242 * CHOOSE(CONTROL!$C$15, $D$11, 100%, $F$11)</f>
        <v>4.1242000000000001</v>
      </c>
      <c r="C66" s="8">
        <f>4.1294 * CHOOSE(CONTROL!$C$15, $D$11, 100%, $F$11)</f>
        <v>4.1294000000000004</v>
      </c>
      <c r="D66" s="8">
        <f>4.1118 * CHOOSE( CONTROL!$C$15, $D$11, 100%, $F$11)</f>
        <v>4.1117999999999997</v>
      </c>
      <c r="E66" s="12">
        <f>4.1177 * CHOOSE( CONTROL!$C$15, $D$11, 100%, $F$11)</f>
        <v>4.1177000000000001</v>
      </c>
      <c r="F66" s="4">
        <f>4.7747 * CHOOSE(CONTROL!$C$15, $D$11, 100%, $F$11)</f>
        <v>4.7747000000000002</v>
      </c>
      <c r="G66" s="8">
        <f>4.0142 * CHOOSE( CONTROL!$C$15, $D$11, 100%, $F$11)</f>
        <v>4.0141999999999998</v>
      </c>
      <c r="H66" s="4">
        <f>4.8982 * CHOOSE(CONTROL!$C$15, $D$11, 100%, $F$11)</f>
        <v>4.8982000000000001</v>
      </c>
      <c r="I66" s="8">
        <f>4.0575 * CHOOSE(CONTROL!$C$15, $D$11, 100%, $F$11)</f>
        <v>4.0575000000000001</v>
      </c>
      <c r="J66" s="4">
        <f>3.9325 * CHOOSE(CONTROL!$C$15, $D$11, 100%, $F$11)</f>
        <v>3.9325000000000001</v>
      </c>
      <c r="K66" s="4"/>
      <c r="L66" s="9">
        <v>26.469899999999999</v>
      </c>
      <c r="M66" s="9">
        <v>10.8962</v>
      </c>
      <c r="N66" s="9">
        <v>4.4660000000000002</v>
      </c>
      <c r="O66" s="9">
        <v>0.33789999999999998</v>
      </c>
      <c r="P66" s="9">
        <v>1.1676</v>
      </c>
      <c r="Q66" s="9">
        <v>22.265599999999999</v>
      </c>
      <c r="R66" s="9"/>
      <c r="S66" s="11"/>
    </row>
    <row r="67" spans="1:19" ht="15" customHeight="1">
      <c r="A67" s="13">
        <v>43525</v>
      </c>
      <c r="B67" s="8">
        <f>4.037 * CHOOSE(CONTROL!$C$15, $D$11, 100%, $F$11)</f>
        <v>4.0369999999999999</v>
      </c>
      <c r="C67" s="8">
        <f>4.0422 * CHOOSE(CONTROL!$C$15, $D$11, 100%, $F$11)</f>
        <v>4.0422000000000002</v>
      </c>
      <c r="D67" s="8">
        <f>4.0242 * CHOOSE( CONTROL!$C$15, $D$11, 100%, $F$11)</f>
        <v>4.0242000000000004</v>
      </c>
      <c r="E67" s="12">
        <f>4.0302 * CHOOSE( CONTROL!$C$15, $D$11, 100%, $F$11)</f>
        <v>4.0301999999999998</v>
      </c>
      <c r="F67" s="4">
        <f>4.6875 * CHOOSE(CONTROL!$C$15, $D$11, 100%, $F$11)</f>
        <v>4.6875</v>
      </c>
      <c r="G67" s="8">
        <f>3.9288 * CHOOSE( CONTROL!$C$15, $D$11, 100%, $F$11)</f>
        <v>3.9287999999999998</v>
      </c>
      <c r="H67" s="4">
        <f>4.8131 * CHOOSE(CONTROL!$C$15, $D$11, 100%, $F$11)</f>
        <v>4.8131000000000004</v>
      </c>
      <c r="I67" s="8">
        <f>3.9725 * CHOOSE(CONTROL!$C$15, $D$11, 100%, $F$11)</f>
        <v>3.9725000000000001</v>
      </c>
      <c r="J67" s="4">
        <f>3.8488 * CHOOSE(CONTROL!$C$15, $D$11, 100%, $F$11)</f>
        <v>3.8488000000000002</v>
      </c>
      <c r="K67" s="4"/>
      <c r="L67" s="9">
        <v>29.306000000000001</v>
      </c>
      <c r="M67" s="9">
        <v>12.063700000000001</v>
      </c>
      <c r="N67" s="9">
        <v>4.9444999999999997</v>
      </c>
      <c r="O67" s="9">
        <v>0.37409999999999999</v>
      </c>
      <c r="P67" s="9">
        <v>1.2927</v>
      </c>
      <c r="Q67" s="9">
        <v>24.651199999999999</v>
      </c>
      <c r="R67" s="9"/>
      <c r="S67" s="11"/>
    </row>
    <row r="68" spans="1:19" ht="15" customHeight="1">
      <c r="A68" s="13">
        <v>43556</v>
      </c>
      <c r="B68" s="8">
        <f>4.0987 * CHOOSE(CONTROL!$C$15, $D$11, 100%, $F$11)</f>
        <v>4.0987</v>
      </c>
      <c r="C68" s="8">
        <f>4.1033 * CHOOSE(CONTROL!$C$15, $D$11, 100%, $F$11)</f>
        <v>4.1032999999999999</v>
      </c>
      <c r="D68" s="8">
        <f>4.1345 * CHOOSE( CONTROL!$C$15, $D$11, 100%, $F$11)</f>
        <v>4.1345000000000001</v>
      </c>
      <c r="E68" s="12">
        <f>4.1237 * CHOOSE( CONTROL!$C$15, $D$11, 100%, $F$11)</f>
        <v>4.1237000000000004</v>
      </c>
      <c r="F68" s="4">
        <f>4.8125 * CHOOSE(CONTROL!$C$15, $D$11, 100%, $F$11)</f>
        <v>4.8125</v>
      </c>
      <c r="G68" s="8">
        <f>3.9891 * CHOOSE( CONTROL!$C$15, $D$11, 100%, $F$11)</f>
        <v>3.9891000000000001</v>
      </c>
      <c r="H68" s="4">
        <f>4.9351 * CHOOSE(CONTROL!$C$15, $D$11, 100%, $F$11)</f>
        <v>4.9351000000000003</v>
      </c>
      <c r="I68" s="8">
        <f>4.0215 * CHOOSE(CONTROL!$C$15, $D$11, 100%, $F$11)</f>
        <v>4.0214999999999996</v>
      </c>
      <c r="J68" s="4">
        <f>3.9073 * CHOOSE(CONTROL!$C$15, $D$11, 100%, $F$11)</f>
        <v>3.9073000000000002</v>
      </c>
      <c r="K68" s="4"/>
      <c r="L68" s="9">
        <v>30.092199999999998</v>
      </c>
      <c r="M68" s="9">
        <v>11.6745</v>
      </c>
      <c r="N68" s="9">
        <v>4.7850000000000001</v>
      </c>
      <c r="O68" s="9">
        <v>0.36199999999999999</v>
      </c>
      <c r="P68" s="9">
        <v>1.1791</v>
      </c>
      <c r="Q68" s="9">
        <v>23.856000000000002</v>
      </c>
      <c r="R68" s="9"/>
      <c r="S68" s="11"/>
    </row>
    <row r="69" spans="1:19" ht="15" customHeight="1">
      <c r="A69" s="13">
        <v>43586</v>
      </c>
      <c r="B69" s="8">
        <f>CHOOSE( CONTROL!$C$32, 4.2141, 4.2085) * CHOOSE(CONTROL!$C$15, $D$11, 100%, $F$11)</f>
        <v>4.2141000000000002</v>
      </c>
      <c r="C69" s="8">
        <f>CHOOSE( CONTROL!$C$32, 4.2222, 4.2166) * CHOOSE(CONTROL!$C$15, $D$11, 100%, $F$11)</f>
        <v>4.2222</v>
      </c>
      <c r="D69" s="8">
        <f>CHOOSE( CONTROL!$C$32, 4.2481, 4.2426) * CHOOSE( CONTROL!$C$15, $D$11, 100%, $F$11)</f>
        <v>4.2481</v>
      </c>
      <c r="E69" s="12">
        <f>CHOOSE( CONTROL!$C$32, 4.2375, 4.2319) * CHOOSE( CONTROL!$C$15, $D$11, 100%, $F$11)</f>
        <v>4.2374999999999998</v>
      </c>
      <c r="F69" s="4">
        <f>CHOOSE( CONTROL!$C$32, 4.9265, 4.9209) * CHOOSE(CONTROL!$C$15, $D$11, 100%, $F$11)</f>
        <v>4.9264999999999999</v>
      </c>
      <c r="G69" s="8">
        <f>CHOOSE( CONTROL!$C$32, 4.1016, 4.0962) * CHOOSE( CONTROL!$C$15, $D$11, 100%, $F$11)</f>
        <v>4.1016000000000004</v>
      </c>
      <c r="H69" s="4">
        <f>CHOOSE( CONTROL!$C$32, 5.0465, 5.041) * CHOOSE(CONTROL!$C$15, $D$11, 100%, $F$11)</f>
        <v>5.0465</v>
      </c>
      <c r="I69" s="8">
        <f>CHOOSE( CONTROL!$C$32, 4.131, 4.1257) * CHOOSE(CONTROL!$C$15, $D$11, 100%, $F$11)</f>
        <v>4.1310000000000002</v>
      </c>
      <c r="J69" s="4">
        <f>CHOOSE( CONTROL!$C$32, 4.0167, 4.0114) * CHOOSE(CONTROL!$C$15, $D$11, 100%, $F$11)</f>
        <v>4.0167000000000002</v>
      </c>
      <c r="K69" s="4"/>
      <c r="L69" s="9">
        <v>30.7165</v>
      </c>
      <c r="M69" s="9">
        <v>12.063700000000001</v>
      </c>
      <c r="N69" s="9">
        <v>4.9444999999999997</v>
      </c>
      <c r="O69" s="9">
        <v>0.37409999999999999</v>
      </c>
      <c r="P69" s="9">
        <v>1.2183999999999999</v>
      </c>
      <c r="Q69" s="9">
        <v>24.651199999999999</v>
      </c>
      <c r="R69" s="9"/>
      <c r="S69" s="11"/>
    </row>
    <row r="70" spans="1:19" ht="15" customHeight="1">
      <c r="A70" s="13">
        <v>43617</v>
      </c>
      <c r="B70" s="8">
        <f>CHOOSE( CONTROL!$C$32, 4.1469, 4.1414) * CHOOSE(CONTROL!$C$15, $D$11, 100%, $F$11)</f>
        <v>4.1468999999999996</v>
      </c>
      <c r="C70" s="8">
        <f>CHOOSE( CONTROL!$C$32, 4.155, 4.1494) * CHOOSE(CONTROL!$C$15, $D$11, 100%, $F$11)</f>
        <v>4.1550000000000002</v>
      </c>
      <c r="D70" s="8">
        <f>CHOOSE( CONTROL!$C$32, 4.1811, 4.1756) * CHOOSE( CONTROL!$C$15, $D$11, 100%, $F$11)</f>
        <v>4.1810999999999998</v>
      </c>
      <c r="E70" s="12">
        <f>CHOOSE( CONTROL!$C$32, 4.1704, 4.1649) * CHOOSE( CONTROL!$C$15, $D$11, 100%, $F$11)</f>
        <v>4.1703999999999999</v>
      </c>
      <c r="F70" s="4">
        <f>CHOOSE( CONTROL!$C$32, 4.8593, 4.8537) * CHOOSE(CONTROL!$C$15, $D$11, 100%, $F$11)</f>
        <v>4.8593000000000002</v>
      </c>
      <c r="G70" s="8">
        <f>CHOOSE( CONTROL!$C$32, 4.0363, 4.0308) * CHOOSE( CONTROL!$C$15, $D$11, 100%, $F$11)</f>
        <v>4.0362999999999998</v>
      </c>
      <c r="H70" s="4">
        <f>CHOOSE( CONTROL!$C$32, 4.9809, 4.9754) * CHOOSE(CONTROL!$C$15, $D$11, 100%, $F$11)</f>
        <v>4.9809000000000001</v>
      </c>
      <c r="I70" s="8">
        <f>CHOOSE( CONTROL!$C$32, 4.0673, 4.0619) * CHOOSE(CONTROL!$C$15, $D$11, 100%, $F$11)</f>
        <v>4.0673000000000004</v>
      </c>
      <c r="J70" s="4">
        <f>CHOOSE( CONTROL!$C$32, 3.9522, 3.9469) * CHOOSE(CONTROL!$C$15, $D$11, 100%, $F$11)</f>
        <v>3.9521999999999999</v>
      </c>
      <c r="K70" s="4"/>
      <c r="L70" s="9">
        <v>29.7257</v>
      </c>
      <c r="M70" s="9">
        <v>11.6745</v>
      </c>
      <c r="N70" s="9">
        <v>4.7850000000000001</v>
      </c>
      <c r="O70" s="9">
        <v>0.36199999999999999</v>
      </c>
      <c r="P70" s="9">
        <v>1.1791</v>
      </c>
      <c r="Q70" s="9">
        <v>23.856000000000002</v>
      </c>
      <c r="R70" s="9"/>
      <c r="S70" s="11"/>
    </row>
    <row r="71" spans="1:19" ht="15" customHeight="1">
      <c r="A71" s="13">
        <v>43647</v>
      </c>
      <c r="B71" s="8">
        <f>CHOOSE( CONTROL!$C$32, 4.3238, 4.3182) * CHOOSE(CONTROL!$C$15, $D$11, 100%, $F$11)</f>
        <v>4.3238000000000003</v>
      </c>
      <c r="C71" s="8">
        <f>CHOOSE( CONTROL!$C$32, 4.3319, 4.3263) * CHOOSE(CONTROL!$C$15, $D$11, 100%, $F$11)</f>
        <v>4.3319000000000001</v>
      </c>
      <c r="D71" s="8">
        <f>CHOOSE( CONTROL!$C$32, 4.3582, 4.3527) * CHOOSE( CONTROL!$C$15, $D$11, 100%, $F$11)</f>
        <v>4.3582000000000001</v>
      </c>
      <c r="E71" s="12">
        <f>CHOOSE( CONTROL!$C$32, 4.3474, 4.3419) * CHOOSE( CONTROL!$C$15, $D$11, 100%, $F$11)</f>
        <v>4.3474000000000004</v>
      </c>
      <c r="F71" s="4">
        <f>CHOOSE( CONTROL!$C$32, 5.0362, 5.0306) * CHOOSE(CONTROL!$C$15, $D$11, 100%, $F$11)</f>
        <v>5.0362</v>
      </c>
      <c r="G71" s="8">
        <f>CHOOSE( CONTROL!$C$32, 4.2093, 4.2039) * CHOOSE( CONTROL!$C$15, $D$11, 100%, $F$11)</f>
        <v>4.2092999999999998</v>
      </c>
      <c r="H71" s="4">
        <f>CHOOSE( CONTROL!$C$32, 5.1536, 5.1482) * CHOOSE(CONTROL!$C$15, $D$11, 100%, $F$11)</f>
        <v>5.1536</v>
      </c>
      <c r="I71" s="8">
        <f>CHOOSE( CONTROL!$C$32, 4.2382, 4.2328) * CHOOSE(CONTROL!$C$15, $D$11, 100%, $F$11)</f>
        <v>4.2382</v>
      </c>
      <c r="J71" s="4">
        <f>CHOOSE( CONTROL!$C$32, 4.1221, 4.1167) * CHOOSE(CONTROL!$C$15, $D$11, 100%, $F$11)</f>
        <v>4.1220999999999997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1.2183999999999999</v>
      </c>
      <c r="Q71" s="9">
        <v>24.651199999999999</v>
      </c>
      <c r="R71" s="9"/>
      <c r="S71" s="11"/>
    </row>
    <row r="72" spans="1:19" ht="15" customHeight="1">
      <c r="A72" s="13">
        <v>43678</v>
      </c>
      <c r="B72" s="8">
        <f>CHOOSE( CONTROL!$C$32, 3.9928, 3.9873) * CHOOSE(CONTROL!$C$15, $D$11, 100%, $F$11)</f>
        <v>3.9927999999999999</v>
      </c>
      <c r="C72" s="8">
        <f>CHOOSE( CONTROL!$C$32, 4.0009, 3.9953) * CHOOSE(CONTROL!$C$15, $D$11, 100%, $F$11)</f>
        <v>4.0008999999999997</v>
      </c>
      <c r="D72" s="8">
        <f>CHOOSE( CONTROL!$C$32, 4.0273, 4.0217) * CHOOSE( CONTROL!$C$15, $D$11, 100%, $F$11)</f>
        <v>4.0273000000000003</v>
      </c>
      <c r="E72" s="12">
        <f>CHOOSE( CONTROL!$C$32, 4.0165, 4.0109) * CHOOSE( CONTROL!$C$15, $D$11, 100%, $F$11)</f>
        <v>4.0164999999999997</v>
      </c>
      <c r="F72" s="4">
        <f>CHOOSE( CONTROL!$C$32, 4.7052, 4.6996) * CHOOSE(CONTROL!$C$15, $D$11, 100%, $F$11)</f>
        <v>4.7051999999999996</v>
      </c>
      <c r="G72" s="8">
        <f>CHOOSE( CONTROL!$C$32, 3.8861, 3.8807) * CHOOSE( CONTROL!$C$15, $D$11, 100%, $F$11)</f>
        <v>3.8860999999999999</v>
      </c>
      <c r="H72" s="4">
        <f>CHOOSE( CONTROL!$C$32, 4.8304, 4.8249) * CHOOSE(CONTROL!$C$15, $D$11, 100%, $F$11)</f>
        <v>4.8304</v>
      </c>
      <c r="I72" s="8">
        <f>CHOOSE( CONTROL!$C$32, 3.9205, 3.9152) * CHOOSE(CONTROL!$C$15, $D$11, 100%, $F$11)</f>
        <v>3.9205000000000001</v>
      </c>
      <c r="J72" s="4">
        <f>CHOOSE( CONTROL!$C$32, 3.8043, 3.7989) * CHOOSE(CONTROL!$C$15, $D$11, 100%, $F$11)</f>
        <v>3.8043</v>
      </c>
      <c r="K72" s="4"/>
      <c r="L72" s="9">
        <v>30.7165</v>
      </c>
      <c r="M72" s="9">
        <v>12.063700000000001</v>
      </c>
      <c r="N72" s="9">
        <v>4.9444999999999997</v>
      </c>
      <c r="O72" s="9">
        <v>0.37409999999999999</v>
      </c>
      <c r="P72" s="9">
        <v>1.2183999999999999</v>
      </c>
      <c r="Q72" s="9">
        <v>24.651199999999999</v>
      </c>
      <c r="R72" s="9"/>
      <c r="S72" s="11"/>
    </row>
    <row r="73" spans="1:19" ht="15" customHeight="1">
      <c r="A73" s="13">
        <v>43709</v>
      </c>
      <c r="B73" s="8">
        <f>CHOOSE( CONTROL!$C$32, 3.9099, 3.9044) * CHOOSE(CONTROL!$C$15, $D$11, 100%, $F$11)</f>
        <v>3.9098999999999999</v>
      </c>
      <c r="C73" s="8">
        <f>CHOOSE( CONTROL!$C$32, 3.918, 3.9125) * CHOOSE(CONTROL!$C$15, $D$11, 100%, $F$11)</f>
        <v>3.9180000000000001</v>
      </c>
      <c r="D73" s="8">
        <f>CHOOSE( CONTROL!$C$32, 3.9444, 3.9388) * CHOOSE( CONTROL!$C$15, $D$11, 100%, $F$11)</f>
        <v>3.9443999999999999</v>
      </c>
      <c r="E73" s="12">
        <f>CHOOSE( CONTROL!$C$32, 3.9336, 3.928) * CHOOSE( CONTROL!$C$15, $D$11, 100%, $F$11)</f>
        <v>3.9336000000000002</v>
      </c>
      <c r="F73" s="4">
        <f>CHOOSE( CONTROL!$C$32, 4.6223, 4.6168) * CHOOSE(CONTROL!$C$15, $D$11, 100%, $F$11)</f>
        <v>4.6223000000000001</v>
      </c>
      <c r="G73" s="8">
        <f>CHOOSE( CONTROL!$C$32, 3.8051, 3.7997) * CHOOSE( CONTROL!$C$15, $D$11, 100%, $F$11)</f>
        <v>3.8050999999999999</v>
      </c>
      <c r="H73" s="4">
        <f>CHOOSE( CONTROL!$C$32, 4.7494, 4.744) * CHOOSE(CONTROL!$C$15, $D$11, 100%, $F$11)</f>
        <v>4.7493999999999996</v>
      </c>
      <c r="I73" s="8">
        <f>CHOOSE( CONTROL!$C$32, 3.8407, 3.8353) * CHOOSE(CONTROL!$C$15, $D$11, 100%, $F$11)</f>
        <v>3.8407</v>
      </c>
      <c r="J73" s="4">
        <f>CHOOSE( CONTROL!$C$32, 3.7247, 3.7194) * CHOOSE(CONTROL!$C$15, $D$11, 100%, $F$11)</f>
        <v>3.7246999999999999</v>
      </c>
      <c r="K73" s="4"/>
      <c r="L73" s="9">
        <v>29.7257</v>
      </c>
      <c r="M73" s="9">
        <v>11.6745</v>
      </c>
      <c r="N73" s="9">
        <v>4.7850000000000001</v>
      </c>
      <c r="O73" s="9">
        <v>0.36199999999999999</v>
      </c>
      <c r="P73" s="9">
        <v>1.1791</v>
      </c>
      <c r="Q73" s="9">
        <v>23.856000000000002</v>
      </c>
      <c r="R73" s="9"/>
      <c r="S73" s="11"/>
    </row>
    <row r="74" spans="1:19" ht="15" customHeight="1">
      <c r="A74" s="13">
        <v>43739</v>
      </c>
      <c r="B74" s="8">
        <f>4.0747 * CHOOSE(CONTROL!$C$15, $D$11, 100%, $F$11)</f>
        <v>4.0747</v>
      </c>
      <c r="C74" s="8">
        <f>4.0802 * CHOOSE(CONTROL!$C$15, $D$11, 100%, $F$11)</f>
        <v>4.0801999999999996</v>
      </c>
      <c r="D74" s="8">
        <f>4.1114 * CHOOSE( CONTROL!$C$15, $D$11, 100%, $F$11)</f>
        <v>4.1113999999999997</v>
      </c>
      <c r="E74" s="12">
        <f>4.1005 * CHOOSE( CONTROL!$C$15, $D$11, 100%, $F$11)</f>
        <v>4.1005000000000003</v>
      </c>
      <c r="F74" s="4">
        <f>4.7889 * CHOOSE(CONTROL!$C$15, $D$11, 100%, $F$11)</f>
        <v>4.7888999999999999</v>
      </c>
      <c r="G74" s="8">
        <f>3.9669 * CHOOSE( CONTROL!$C$15, $D$11, 100%, $F$11)</f>
        <v>3.9668999999999999</v>
      </c>
      <c r="H74" s="4">
        <f>4.9121 * CHOOSE(CONTROL!$C$15, $D$11, 100%, $F$11)</f>
        <v>4.9120999999999997</v>
      </c>
      <c r="I74" s="8">
        <f>4.0015 * CHOOSE(CONTROL!$C$15, $D$11, 100%, $F$11)</f>
        <v>4.0015000000000001</v>
      </c>
      <c r="J74" s="4">
        <f>3.8846 * CHOOSE(CONTROL!$C$15, $D$11, 100%, $F$11)</f>
        <v>3.8845999999999998</v>
      </c>
      <c r="K74" s="4"/>
      <c r="L74" s="9">
        <v>31.095300000000002</v>
      </c>
      <c r="M74" s="9">
        <v>12.063700000000001</v>
      </c>
      <c r="N74" s="9">
        <v>4.9444999999999997</v>
      </c>
      <c r="O74" s="9">
        <v>0.37409999999999999</v>
      </c>
      <c r="P74" s="9">
        <v>1.2183999999999999</v>
      </c>
      <c r="Q74" s="9">
        <v>24.651199999999999</v>
      </c>
      <c r="R74" s="9"/>
      <c r="S74" s="11"/>
    </row>
    <row r="75" spans="1:19" ht="15" customHeight="1">
      <c r="A75" s="13">
        <v>43770</v>
      </c>
      <c r="B75" s="8">
        <f>4.392 * CHOOSE(CONTROL!$C$15, $D$11, 100%, $F$11)</f>
        <v>4.3920000000000003</v>
      </c>
      <c r="C75" s="8">
        <f>4.3972 * CHOOSE(CONTROL!$C$15, $D$11, 100%, $F$11)</f>
        <v>4.3971999999999998</v>
      </c>
      <c r="D75" s="8">
        <f>4.3834 * CHOOSE( CONTROL!$C$15, $D$11, 100%, $F$11)</f>
        <v>4.3834</v>
      </c>
      <c r="E75" s="12">
        <f>4.3879 * CHOOSE( CONTROL!$C$15, $D$11, 100%, $F$11)</f>
        <v>4.3879000000000001</v>
      </c>
      <c r="F75" s="4">
        <f>5.0425 * CHOOSE(CONTROL!$C$15, $D$11, 100%, $F$11)</f>
        <v>5.0425000000000004</v>
      </c>
      <c r="G75" s="8">
        <f>4.2847 * CHOOSE( CONTROL!$C$15, $D$11, 100%, $F$11)</f>
        <v>4.2847</v>
      </c>
      <c r="H75" s="4">
        <f>5.1597 * CHOOSE(CONTROL!$C$15, $D$11, 100%, $F$11)</f>
        <v>5.1597</v>
      </c>
      <c r="I75" s="8">
        <f>4.3502 * CHOOSE(CONTROL!$C$15, $D$11, 100%, $F$11)</f>
        <v>4.3502000000000001</v>
      </c>
      <c r="J75" s="4">
        <f>4.1896 * CHOOSE(CONTROL!$C$15, $D$11, 100%, $F$11)</f>
        <v>4.1896000000000004</v>
      </c>
      <c r="K75" s="4"/>
      <c r="L75" s="9">
        <v>28.360600000000002</v>
      </c>
      <c r="M75" s="9">
        <v>11.6745</v>
      </c>
      <c r="N75" s="9">
        <v>4.7850000000000001</v>
      </c>
      <c r="O75" s="9">
        <v>0.36199999999999999</v>
      </c>
      <c r="P75" s="9">
        <v>1.2509999999999999</v>
      </c>
      <c r="Q75" s="9">
        <v>23.856000000000002</v>
      </c>
      <c r="R75" s="9"/>
      <c r="S75" s="11"/>
    </row>
    <row r="76" spans="1:19" ht="15.75">
      <c r="A76" s="13">
        <v>43800</v>
      </c>
      <c r="B76" s="8">
        <f>4.3841 * CHOOSE(CONTROL!$C$15, $D$11, 100%, $F$11)</f>
        <v>4.3841000000000001</v>
      </c>
      <c r="C76" s="8">
        <f>4.3892 * CHOOSE(CONTROL!$C$15, $D$11, 100%, $F$11)</f>
        <v>4.3891999999999998</v>
      </c>
      <c r="D76" s="8">
        <f>4.377 * CHOOSE( CONTROL!$C$15, $D$11, 100%, $F$11)</f>
        <v>4.3769999999999998</v>
      </c>
      <c r="E76" s="12">
        <f>4.3809 * CHOOSE( CONTROL!$C$15, $D$11, 100%, $F$11)</f>
        <v>4.3808999999999996</v>
      </c>
      <c r="F76" s="4">
        <f>5.0345 * CHOOSE(CONTROL!$C$15, $D$11, 100%, $F$11)</f>
        <v>5.0345000000000004</v>
      </c>
      <c r="G76" s="8">
        <f>4.2781 * CHOOSE( CONTROL!$C$15, $D$11, 100%, $F$11)</f>
        <v>4.2781000000000002</v>
      </c>
      <c r="H76" s="4">
        <f>5.152 * CHOOSE(CONTROL!$C$15, $D$11, 100%, $F$11)</f>
        <v>5.1520000000000001</v>
      </c>
      <c r="I76" s="8">
        <f>4.3474 * CHOOSE(CONTROL!$C$15, $D$11, 100%, $F$11)</f>
        <v>4.3474000000000004</v>
      </c>
      <c r="J76" s="4">
        <f>4.1819 * CHOOSE(CONTROL!$C$15, $D$11, 100%, $F$11)</f>
        <v>4.1818999999999997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24.651199999999999</v>
      </c>
      <c r="R76" s="9"/>
      <c r="S76" s="11"/>
    </row>
    <row r="77" spans="1:19" ht="15.75">
      <c r="A77" s="13">
        <v>43831</v>
      </c>
      <c r="B77" s="8">
        <f>5.5314 * CHOOSE(CONTROL!$C$15, $D$11, 100%, $F$11)</f>
        <v>5.5313999999999997</v>
      </c>
      <c r="C77" s="8">
        <f>5.5366 * CHOOSE(CONTROL!$C$15, $D$11, 100%, $F$11)</f>
        <v>5.5366</v>
      </c>
      <c r="D77" s="8">
        <f>5.519 * CHOOSE( CONTROL!$C$15, $D$11, 100%, $F$11)</f>
        <v>5.5190000000000001</v>
      </c>
      <c r="E77" s="12">
        <f>5.5249 * CHOOSE( CONTROL!$C$15, $D$11, 100%, $F$11)</f>
        <v>5.5248999999999997</v>
      </c>
      <c r="F77" s="4">
        <f>6.1818 * CHOOSE(CONTROL!$C$15, $D$11, 100%, $F$11)</f>
        <v>6.1818</v>
      </c>
      <c r="G77" s="8">
        <f>5.3886 * CHOOSE( CONTROL!$C$15, $D$11, 100%, $F$11)</f>
        <v>5.3886000000000003</v>
      </c>
      <c r="H77" s="4">
        <f>6.2726 * CHOOSE(CONTROL!$C$15, $D$11, 100%, $F$11)</f>
        <v>6.2725999999999997</v>
      </c>
      <c r="I77" s="8">
        <f>5.4093 * CHOOSE(CONTROL!$C$15, $D$11, 100%, $F$11)</f>
        <v>5.4093</v>
      </c>
      <c r="J77" s="4">
        <f>5.2835 * CHOOSE(CONTROL!$C$15, $D$11, 100%, $F$11)</f>
        <v>5.2835000000000001</v>
      </c>
      <c r="K77" s="4"/>
      <c r="L77" s="9">
        <v>29.306000000000001</v>
      </c>
      <c r="M77" s="9">
        <v>12.063700000000001</v>
      </c>
      <c r="N77" s="9">
        <v>4.9444999999999997</v>
      </c>
      <c r="O77" s="9">
        <v>0.37409999999999999</v>
      </c>
      <c r="P77" s="9">
        <v>1.2927</v>
      </c>
      <c r="Q77" s="9">
        <v>22.150099999999998</v>
      </c>
      <c r="R77" s="9"/>
      <c r="S77" s="11"/>
    </row>
    <row r="78" spans="1:19" ht="15.75">
      <c r="A78" s="13">
        <v>43862</v>
      </c>
      <c r="B78" s="8">
        <f>5.1756 * CHOOSE(CONTROL!$C$15, $D$11, 100%, $F$11)</f>
        <v>5.1756000000000002</v>
      </c>
      <c r="C78" s="8">
        <f>5.1808 * CHOOSE(CONTROL!$C$15, $D$11, 100%, $F$11)</f>
        <v>5.1807999999999996</v>
      </c>
      <c r="D78" s="8">
        <f>5.1632 * CHOOSE( CONTROL!$C$15, $D$11, 100%, $F$11)</f>
        <v>5.1631999999999998</v>
      </c>
      <c r="E78" s="12">
        <f>5.1691 * CHOOSE( CONTROL!$C$15, $D$11, 100%, $F$11)</f>
        <v>5.1691000000000003</v>
      </c>
      <c r="F78" s="4">
        <f>5.8261 * CHOOSE(CONTROL!$C$15, $D$11, 100%, $F$11)</f>
        <v>5.8261000000000003</v>
      </c>
      <c r="G78" s="8">
        <f>5.0411 * CHOOSE( CONTROL!$C$15, $D$11, 100%, $F$11)</f>
        <v>5.0411000000000001</v>
      </c>
      <c r="H78" s="4">
        <f>5.9251 * CHOOSE(CONTROL!$C$15, $D$11, 100%, $F$11)</f>
        <v>5.9250999999999996</v>
      </c>
      <c r="I78" s="8">
        <f>5.0674 * CHOOSE(CONTROL!$C$15, $D$11, 100%, $F$11)</f>
        <v>5.0674000000000001</v>
      </c>
      <c r="J78" s="4">
        <f>4.9419 * CHOOSE(CONTROL!$C$15, $D$11, 100%, $F$11)</f>
        <v>4.9419000000000004</v>
      </c>
      <c r="K78" s="4"/>
      <c r="L78" s="9">
        <v>27.415299999999998</v>
      </c>
      <c r="M78" s="9">
        <v>11.285299999999999</v>
      </c>
      <c r="N78" s="9">
        <v>4.6254999999999997</v>
      </c>
      <c r="O78" s="9">
        <v>0.34989999999999999</v>
      </c>
      <c r="P78" s="9">
        <v>1.2093</v>
      </c>
      <c r="Q78" s="9">
        <v>20.7211</v>
      </c>
      <c r="R78" s="9"/>
      <c r="S78" s="11"/>
    </row>
    <row r="79" spans="1:19" ht="15.75">
      <c r="A79" s="13">
        <v>43891</v>
      </c>
      <c r="B79" s="8">
        <f>5.066 * CHOOSE(CONTROL!$C$15, $D$11, 100%, $F$11)</f>
        <v>5.0659999999999998</v>
      </c>
      <c r="C79" s="8">
        <f>5.0712 * CHOOSE(CONTROL!$C$15, $D$11, 100%, $F$11)</f>
        <v>5.0712000000000002</v>
      </c>
      <c r="D79" s="8">
        <f>5.0532 * CHOOSE( CONTROL!$C$15, $D$11, 100%, $F$11)</f>
        <v>5.0532000000000004</v>
      </c>
      <c r="E79" s="12">
        <f>5.0592 * CHOOSE( CONTROL!$C$15, $D$11, 100%, $F$11)</f>
        <v>5.0591999999999997</v>
      </c>
      <c r="F79" s="4">
        <f>5.7165 * CHOOSE(CONTROL!$C$15, $D$11, 100%, $F$11)</f>
        <v>5.7164999999999999</v>
      </c>
      <c r="G79" s="8">
        <f>4.9338 * CHOOSE( CONTROL!$C$15, $D$11, 100%, $F$11)</f>
        <v>4.9337999999999997</v>
      </c>
      <c r="H79" s="4">
        <f>5.8181 * CHOOSE(CONTROL!$C$15, $D$11, 100%, $F$11)</f>
        <v>5.8181000000000003</v>
      </c>
      <c r="I79" s="8">
        <f>4.961 * CHOOSE(CONTROL!$C$15, $D$11, 100%, $F$11)</f>
        <v>4.9610000000000003</v>
      </c>
      <c r="J79" s="4">
        <f>4.8367 * CHOOSE(CONTROL!$C$15, $D$11, 100%, $F$11)</f>
        <v>4.8367000000000004</v>
      </c>
      <c r="K79" s="4"/>
      <c r="L79" s="9">
        <v>29.306000000000001</v>
      </c>
      <c r="M79" s="9">
        <v>12.063700000000001</v>
      </c>
      <c r="N79" s="9">
        <v>4.9444999999999997</v>
      </c>
      <c r="O79" s="9">
        <v>0.37409999999999999</v>
      </c>
      <c r="P79" s="9">
        <v>1.2927</v>
      </c>
      <c r="Q79" s="9">
        <v>22.150099999999998</v>
      </c>
      <c r="R79" s="9"/>
      <c r="S79" s="11"/>
    </row>
    <row r="80" spans="1:19" ht="15.75">
      <c r="A80" s="13">
        <v>43922</v>
      </c>
      <c r="B80" s="8">
        <f>5.1434 * CHOOSE(CONTROL!$C$15, $D$11, 100%, $F$11)</f>
        <v>5.1433999999999997</v>
      </c>
      <c r="C80" s="8">
        <f>5.148 * CHOOSE(CONTROL!$C$15, $D$11, 100%, $F$11)</f>
        <v>5.1479999999999997</v>
      </c>
      <c r="D80" s="8">
        <f>5.1791 * CHOOSE( CONTROL!$C$15, $D$11, 100%, $F$11)</f>
        <v>5.1791</v>
      </c>
      <c r="E80" s="12">
        <f>5.1683 * CHOOSE( CONTROL!$C$15, $D$11, 100%, $F$11)</f>
        <v>5.1683000000000003</v>
      </c>
      <c r="F80" s="4">
        <f>5.8571 * CHOOSE(CONTROL!$C$15, $D$11, 100%, $F$11)</f>
        <v>5.8571</v>
      </c>
      <c r="G80" s="8">
        <f>5.0095 * CHOOSE( CONTROL!$C$15, $D$11, 100%, $F$11)</f>
        <v>5.0095000000000001</v>
      </c>
      <c r="H80" s="4">
        <f>5.9554 * CHOOSE(CONTROL!$C$15, $D$11, 100%, $F$11)</f>
        <v>5.9554</v>
      </c>
      <c r="I80" s="8">
        <f>5.025 * CHOOSE(CONTROL!$C$15, $D$11, 100%, $F$11)</f>
        <v>5.0250000000000004</v>
      </c>
      <c r="J80" s="4">
        <f>4.9102 * CHOOSE(CONTROL!$C$15, $D$11, 100%, $F$11)</f>
        <v>4.9101999999999997</v>
      </c>
      <c r="K80" s="4"/>
      <c r="L80" s="9">
        <v>30.092199999999998</v>
      </c>
      <c r="M80" s="9">
        <v>11.6745</v>
      </c>
      <c r="N80" s="9">
        <v>4.7850000000000001</v>
      </c>
      <c r="O80" s="9">
        <v>0.36199999999999999</v>
      </c>
      <c r="P80" s="9">
        <v>1.1791</v>
      </c>
      <c r="Q80" s="9">
        <v>21.435600000000001</v>
      </c>
      <c r="R80" s="9"/>
      <c r="S80" s="11"/>
    </row>
    <row r="81" spans="1:19" ht="15.75">
      <c r="A81" s="13">
        <v>43952</v>
      </c>
      <c r="B81" s="8">
        <f>CHOOSE( CONTROL!$C$32, 5.2866, 5.281) * CHOOSE(CONTROL!$C$15, $D$11, 100%, $F$11)</f>
        <v>5.2866</v>
      </c>
      <c r="C81" s="8">
        <f>CHOOSE( CONTROL!$C$32, 5.2947, 5.2891) * CHOOSE(CONTROL!$C$15, $D$11, 100%, $F$11)</f>
        <v>5.2946999999999997</v>
      </c>
      <c r="D81" s="8">
        <f>CHOOSE( CONTROL!$C$32, 5.3206, 5.3151) * CHOOSE( CONTROL!$C$15, $D$11, 100%, $F$11)</f>
        <v>5.3205999999999998</v>
      </c>
      <c r="E81" s="12">
        <f>CHOOSE( CONTROL!$C$32, 5.31, 5.3044) * CHOOSE( CONTROL!$C$15, $D$11, 100%, $F$11)</f>
        <v>5.31</v>
      </c>
      <c r="F81" s="4">
        <f>CHOOSE( CONTROL!$C$32, 5.999, 5.9934) * CHOOSE(CONTROL!$C$15, $D$11, 100%, $F$11)</f>
        <v>5.9989999999999997</v>
      </c>
      <c r="G81" s="8">
        <f>CHOOSE( CONTROL!$C$32, 5.1491, 5.1437) * CHOOSE( CONTROL!$C$15, $D$11, 100%, $F$11)</f>
        <v>5.1490999999999998</v>
      </c>
      <c r="H81" s="4">
        <f>CHOOSE( CONTROL!$C$32, 6.094, 6.0885) * CHOOSE(CONTROL!$C$15, $D$11, 100%, $F$11)</f>
        <v>6.0940000000000003</v>
      </c>
      <c r="I81" s="8">
        <f>CHOOSE( CONTROL!$C$32, 5.1612, 5.1559) * CHOOSE(CONTROL!$C$15, $D$11, 100%, $F$11)</f>
        <v>5.1612</v>
      </c>
      <c r="J81" s="4">
        <f>CHOOSE( CONTROL!$C$32, 5.0464, 5.0411) * CHOOSE(CONTROL!$C$15, $D$11, 100%, $F$11)</f>
        <v>5.0464000000000002</v>
      </c>
      <c r="K81" s="4"/>
      <c r="L81" s="9">
        <v>30.7165</v>
      </c>
      <c r="M81" s="9">
        <v>12.063700000000001</v>
      </c>
      <c r="N81" s="9">
        <v>4.9444999999999997</v>
      </c>
      <c r="O81" s="9">
        <v>0.37409999999999999</v>
      </c>
      <c r="P81" s="9">
        <v>1.2183999999999999</v>
      </c>
      <c r="Q81" s="9">
        <v>33.225200000000001</v>
      </c>
      <c r="R81" s="9"/>
      <c r="S81" s="11"/>
    </row>
    <row r="82" spans="1:19" ht="15.75">
      <c r="A82" s="13">
        <v>43983</v>
      </c>
      <c r="B82" s="8">
        <f>CHOOSE( CONTROL!$C$32, 5.2022, 5.1966) * CHOOSE(CONTROL!$C$15, $D$11, 100%, $F$11)</f>
        <v>5.2022000000000004</v>
      </c>
      <c r="C82" s="8">
        <f>CHOOSE( CONTROL!$C$32, 5.2103, 5.2047) * CHOOSE(CONTROL!$C$15, $D$11, 100%, $F$11)</f>
        <v>5.2103000000000002</v>
      </c>
      <c r="D82" s="8">
        <f>CHOOSE( CONTROL!$C$32, 5.2364, 5.2308) * CHOOSE( CONTROL!$C$15, $D$11, 100%, $F$11)</f>
        <v>5.2363999999999997</v>
      </c>
      <c r="E82" s="12">
        <f>CHOOSE( CONTROL!$C$32, 5.2257, 5.2201) * CHOOSE( CONTROL!$C$15, $D$11, 100%, $F$11)</f>
        <v>5.2256999999999998</v>
      </c>
      <c r="F82" s="4">
        <f>CHOOSE( CONTROL!$C$32, 5.9146, 5.909) * CHOOSE(CONTROL!$C$15, $D$11, 100%, $F$11)</f>
        <v>5.9146000000000001</v>
      </c>
      <c r="G82" s="8">
        <f>CHOOSE( CONTROL!$C$32, 5.0669, 5.0615) * CHOOSE( CONTROL!$C$15, $D$11, 100%, $F$11)</f>
        <v>5.0669000000000004</v>
      </c>
      <c r="H82" s="4">
        <f>CHOOSE( CONTROL!$C$32, 6.0115, 6.0061) * CHOOSE(CONTROL!$C$15, $D$11, 100%, $F$11)</f>
        <v>6.0114999999999998</v>
      </c>
      <c r="I82" s="8">
        <f>CHOOSE( CONTROL!$C$32, 5.0809, 5.0756) * CHOOSE(CONTROL!$C$15, $D$11, 100%, $F$11)</f>
        <v>5.0808999999999997</v>
      </c>
      <c r="J82" s="4">
        <f>CHOOSE( CONTROL!$C$32, 4.9654, 4.96) * CHOOSE(CONTROL!$C$15, $D$11, 100%, $F$11)</f>
        <v>4.9653999999999998</v>
      </c>
      <c r="K82" s="4"/>
      <c r="L82" s="9">
        <v>29.7257</v>
      </c>
      <c r="M82" s="9">
        <v>11.6745</v>
      </c>
      <c r="N82" s="9">
        <v>4.7850000000000001</v>
      </c>
      <c r="O82" s="9">
        <v>0.36199999999999999</v>
      </c>
      <c r="P82" s="9">
        <v>1.1791</v>
      </c>
      <c r="Q82" s="9">
        <v>32.153399999999998</v>
      </c>
      <c r="R82" s="9"/>
      <c r="S82" s="11"/>
    </row>
    <row r="83" spans="1:19" ht="15.75">
      <c r="A83" s="13">
        <v>44013</v>
      </c>
      <c r="B83" s="8">
        <f>CHOOSE( CONTROL!$C$32, 5.4245, 5.4189) * CHOOSE(CONTROL!$C$15, $D$11, 100%, $F$11)</f>
        <v>5.4245000000000001</v>
      </c>
      <c r="C83" s="8">
        <f>CHOOSE( CONTROL!$C$32, 5.4326, 5.427) * CHOOSE(CONTROL!$C$15, $D$11, 100%, $F$11)</f>
        <v>5.4325999999999999</v>
      </c>
      <c r="D83" s="8">
        <f>CHOOSE( CONTROL!$C$32, 5.4589, 5.4533) * CHOOSE( CONTROL!$C$15, $D$11, 100%, $F$11)</f>
        <v>5.4588999999999999</v>
      </c>
      <c r="E83" s="12">
        <f>CHOOSE( CONTROL!$C$32, 5.4481, 5.4425) * CHOOSE( CONTROL!$C$15, $D$11, 100%, $F$11)</f>
        <v>5.4481000000000002</v>
      </c>
      <c r="F83" s="4">
        <f>CHOOSE( CONTROL!$C$32, 6.1369, 6.1313) * CHOOSE(CONTROL!$C$15, $D$11, 100%, $F$11)</f>
        <v>6.1368999999999998</v>
      </c>
      <c r="G83" s="8">
        <f>CHOOSE( CONTROL!$C$32, 5.2843, 5.2789) * CHOOSE( CONTROL!$C$15, $D$11, 100%, $F$11)</f>
        <v>5.2843</v>
      </c>
      <c r="H83" s="4">
        <f>CHOOSE( CONTROL!$C$32, 6.2287, 6.2232) * CHOOSE(CONTROL!$C$15, $D$11, 100%, $F$11)</f>
        <v>6.2286999999999999</v>
      </c>
      <c r="I83" s="8">
        <f>CHOOSE( CONTROL!$C$32, 5.2954, 5.2901) * CHOOSE(CONTROL!$C$15, $D$11, 100%, $F$11)</f>
        <v>5.2953999999999999</v>
      </c>
      <c r="J83" s="4">
        <f>CHOOSE( CONTROL!$C$32, 5.1788, 5.1735) * CHOOSE(CONTROL!$C$15, $D$11, 100%, $F$11)</f>
        <v>5.1787999999999998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1.2183999999999999</v>
      </c>
      <c r="Q83" s="9">
        <v>33.225200000000001</v>
      </c>
      <c r="R83" s="9"/>
      <c r="S83" s="11"/>
    </row>
    <row r="84" spans="1:19" ht="15.75">
      <c r="A84" s="13">
        <v>44044</v>
      </c>
      <c r="B84" s="8">
        <f>CHOOSE( CONTROL!$C$32, 5.0085, 5.0029) * CHOOSE(CONTROL!$C$15, $D$11, 100%, $F$11)</f>
        <v>5.0084999999999997</v>
      </c>
      <c r="C84" s="8">
        <f>CHOOSE( CONTROL!$C$32, 5.0166, 5.011) * CHOOSE(CONTROL!$C$15, $D$11, 100%, $F$11)</f>
        <v>5.0166000000000004</v>
      </c>
      <c r="D84" s="8">
        <f>CHOOSE( CONTROL!$C$32, 5.043, 5.0374) * CHOOSE( CONTROL!$C$15, $D$11, 100%, $F$11)</f>
        <v>5.0430000000000001</v>
      </c>
      <c r="E84" s="12">
        <f>CHOOSE( CONTROL!$C$32, 5.0322, 5.0266) * CHOOSE( CONTROL!$C$15, $D$11, 100%, $F$11)</f>
        <v>5.0321999999999996</v>
      </c>
      <c r="F84" s="4">
        <f>CHOOSE( CONTROL!$C$32, 5.7209, 5.7153) * CHOOSE(CONTROL!$C$15, $D$11, 100%, $F$11)</f>
        <v>5.7209000000000003</v>
      </c>
      <c r="G84" s="8">
        <f>CHOOSE( CONTROL!$C$32, 4.8782, 4.8727) * CHOOSE( CONTROL!$C$15, $D$11, 100%, $F$11)</f>
        <v>4.8781999999999996</v>
      </c>
      <c r="H84" s="4">
        <f>CHOOSE( CONTROL!$C$32, 5.8224, 5.817) * CHOOSE(CONTROL!$C$15, $D$11, 100%, $F$11)</f>
        <v>5.8224</v>
      </c>
      <c r="I84" s="8">
        <f>CHOOSE( CONTROL!$C$32, 4.8962, 4.8908) * CHOOSE(CONTROL!$C$15, $D$11, 100%, $F$11)</f>
        <v>4.8962000000000003</v>
      </c>
      <c r="J84" s="4">
        <f>CHOOSE( CONTROL!$C$32, 4.7795, 4.7741) * CHOOSE(CONTROL!$C$15, $D$11, 100%, $F$11)</f>
        <v>4.7794999999999996</v>
      </c>
      <c r="K84" s="4"/>
      <c r="L84" s="9">
        <v>30.7165</v>
      </c>
      <c r="M84" s="9">
        <v>12.063700000000001</v>
      </c>
      <c r="N84" s="9">
        <v>4.9444999999999997</v>
      </c>
      <c r="O84" s="9">
        <v>0.37409999999999999</v>
      </c>
      <c r="P84" s="9">
        <v>1.2183999999999999</v>
      </c>
      <c r="Q84" s="9">
        <v>33.225200000000001</v>
      </c>
      <c r="R84" s="9"/>
      <c r="S84" s="11"/>
    </row>
    <row r="85" spans="1:19" ht="15.75">
      <c r="A85" s="13">
        <v>44075</v>
      </c>
      <c r="B85" s="8">
        <f>CHOOSE( CONTROL!$C$32, 4.9044, 4.8988) * CHOOSE(CONTROL!$C$15, $D$11, 100%, $F$11)</f>
        <v>4.9043999999999999</v>
      </c>
      <c r="C85" s="8">
        <f>CHOOSE( CONTROL!$C$32, 4.9124, 4.9069) * CHOOSE(CONTROL!$C$15, $D$11, 100%, $F$11)</f>
        <v>4.9123999999999999</v>
      </c>
      <c r="D85" s="8">
        <f>CHOOSE( CONTROL!$C$32, 4.9388, 4.9332) * CHOOSE( CONTROL!$C$15, $D$11, 100%, $F$11)</f>
        <v>4.9387999999999996</v>
      </c>
      <c r="E85" s="12">
        <f>CHOOSE( CONTROL!$C$32, 4.928, 4.9224) * CHOOSE( CONTROL!$C$15, $D$11, 100%, $F$11)</f>
        <v>4.9279999999999999</v>
      </c>
      <c r="F85" s="4">
        <f>CHOOSE( CONTROL!$C$32, 5.6168, 5.6112) * CHOOSE(CONTROL!$C$15, $D$11, 100%, $F$11)</f>
        <v>5.6167999999999996</v>
      </c>
      <c r="G85" s="8">
        <f>CHOOSE( CONTROL!$C$32, 4.7764, 4.7709) * CHOOSE( CONTROL!$C$15, $D$11, 100%, $F$11)</f>
        <v>4.7763999999999998</v>
      </c>
      <c r="H85" s="4">
        <f>CHOOSE( CONTROL!$C$32, 5.7207, 5.7152) * CHOOSE(CONTROL!$C$15, $D$11, 100%, $F$11)</f>
        <v>5.7206999999999999</v>
      </c>
      <c r="I85" s="8">
        <f>CHOOSE( CONTROL!$C$32, 4.7959, 4.7905) * CHOOSE(CONTROL!$C$15, $D$11, 100%, $F$11)</f>
        <v>4.7958999999999996</v>
      </c>
      <c r="J85" s="4">
        <f>CHOOSE( CONTROL!$C$32, 4.6795, 4.6741) * CHOOSE(CONTROL!$C$15, $D$11, 100%, $F$11)</f>
        <v>4.6795</v>
      </c>
      <c r="K85" s="4"/>
      <c r="L85" s="9">
        <v>29.7257</v>
      </c>
      <c r="M85" s="9">
        <v>11.6745</v>
      </c>
      <c r="N85" s="9">
        <v>4.7850000000000001</v>
      </c>
      <c r="O85" s="9">
        <v>0.36199999999999999</v>
      </c>
      <c r="P85" s="9">
        <v>1.1791</v>
      </c>
      <c r="Q85" s="9">
        <v>32.153399999999998</v>
      </c>
      <c r="R85" s="9"/>
      <c r="S85" s="11"/>
    </row>
    <row r="86" spans="1:19" ht="15.75">
      <c r="A86" s="13">
        <v>44105</v>
      </c>
      <c r="B86" s="8">
        <f>5.1133 * CHOOSE(CONTROL!$C$15, $D$11, 100%, $F$11)</f>
        <v>5.1132999999999997</v>
      </c>
      <c r="C86" s="8">
        <f>5.1188 * CHOOSE(CONTROL!$C$15, $D$11, 100%, $F$11)</f>
        <v>5.1188000000000002</v>
      </c>
      <c r="D86" s="8">
        <f>5.15 * CHOOSE( CONTROL!$C$15, $D$11, 100%, $F$11)</f>
        <v>5.15</v>
      </c>
      <c r="E86" s="12">
        <f>5.1391 * CHOOSE( CONTROL!$C$15, $D$11, 100%, $F$11)</f>
        <v>5.1391</v>
      </c>
      <c r="F86" s="4">
        <f>5.8275 * CHOOSE(CONTROL!$C$15, $D$11, 100%, $F$11)</f>
        <v>5.8274999999999997</v>
      </c>
      <c r="G86" s="8">
        <f>4.9813 * CHOOSE( CONTROL!$C$15, $D$11, 100%, $F$11)</f>
        <v>4.9813000000000001</v>
      </c>
      <c r="H86" s="4">
        <f>5.9265 * CHOOSE(CONTROL!$C$15, $D$11, 100%, $F$11)</f>
        <v>5.9264999999999999</v>
      </c>
      <c r="I86" s="8">
        <f>4.9991 * CHOOSE(CONTROL!$C$15, $D$11, 100%, $F$11)</f>
        <v>4.9991000000000003</v>
      </c>
      <c r="J86" s="4">
        <f>4.8817 * CHOOSE(CONTROL!$C$15, $D$11, 100%, $F$11)</f>
        <v>4.8817000000000004</v>
      </c>
      <c r="K86" s="4"/>
      <c r="L86" s="9">
        <v>31.095300000000002</v>
      </c>
      <c r="M86" s="9">
        <v>12.063700000000001</v>
      </c>
      <c r="N86" s="9">
        <v>4.9444999999999997</v>
      </c>
      <c r="O86" s="9">
        <v>0.37409999999999999</v>
      </c>
      <c r="P86" s="9">
        <v>1.2183999999999999</v>
      </c>
      <c r="Q86" s="9">
        <v>33.225200000000001</v>
      </c>
      <c r="R86" s="9"/>
      <c r="S86" s="11"/>
    </row>
    <row r="87" spans="1:19" ht="15.75">
      <c r="A87" s="13">
        <v>44136</v>
      </c>
      <c r="B87" s="8">
        <f>5.5121 * CHOOSE(CONTROL!$C$15, $D$11, 100%, $F$11)</f>
        <v>5.5121000000000002</v>
      </c>
      <c r="C87" s="8">
        <f>5.5173 * CHOOSE(CONTROL!$C$15, $D$11, 100%, $F$11)</f>
        <v>5.5172999999999996</v>
      </c>
      <c r="D87" s="8">
        <f>5.5035 * CHOOSE( CONTROL!$C$15, $D$11, 100%, $F$11)</f>
        <v>5.5034999999999998</v>
      </c>
      <c r="E87" s="12">
        <f>5.508 * CHOOSE( CONTROL!$C$15, $D$11, 100%, $F$11)</f>
        <v>5.508</v>
      </c>
      <c r="F87" s="4">
        <f>6.1626 * CHOOSE(CONTROL!$C$15, $D$11, 100%, $F$11)</f>
        <v>6.1626000000000003</v>
      </c>
      <c r="G87" s="8">
        <f>5.3788 * CHOOSE( CONTROL!$C$15, $D$11, 100%, $F$11)</f>
        <v>5.3788</v>
      </c>
      <c r="H87" s="4">
        <f>6.2538 * CHOOSE(CONTROL!$C$15, $D$11, 100%, $F$11)</f>
        <v>6.2538</v>
      </c>
      <c r="I87" s="8">
        <f>5.4262 * CHOOSE(CONTROL!$C$15, $D$11, 100%, $F$11)</f>
        <v>5.4261999999999997</v>
      </c>
      <c r="J87" s="4">
        <f>5.265 * CHOOSE(CONTROL!$C$15, $D$11, 100%, $F$11)</f>
        <v>5.2649999999999997</v>
      </c>
      <c r="K87" s="4"/>
      <c r="L87" s="9">
        <v>28.360600000000002</v>
      </c>
      <c r="M87" s="9">
        <v>11.6745</v>
      </c>
      <c r="N87" s="9">
        <v>4.7850000000000001</v>
      </c>
      <c r="O87" s="9">
        <v>0.36199999999999999</v>
      </c>
      <c r="P87" s="9">
        <v>1.2509999999999999</v>
      </c>
      <c r="Q87" s="9">
        <v>32.153399999999998</v>
      </c>
      <c r="R87" s="9"/>
      <c r="S87" s="11"/>
    </row>
    <row r="88" spans="1:19" ht="15.75">
      <c r="A88" s="13">
        <v>44166</v>
      </c>
      <c r="B88" s="8">
        <f>5.5021 * CHOOSE(CONTROL!$C$15, $D$11, 100%, $F$11)</f>
        <v>5.5021000000000004</v>
      </c>
      <c r="C88" s="8">
        <f>5.5073 * CHOOSE(CONTROL!$C$15, $D$11, 100%, $F$11)</f>
        <v>5.5072999999999999</v>
      </c>
      <c r="D88" s="8">
        <f>5.4951 * CHOOSE( CONTROL!$C$15, $D$11, 100%, $F$11)</f>
        <v>5.4950999999999999</v>
      </c>
      <c r="E88" s="12">
        <f>5.499 * CHOOSE( CONTROL!$C$15, $D$11, 100%, $F$11)</f>
        <v>5.4989999999999997</v>
      </c>
      <c r="F88" s="4">
        <f>6.1526 * CHOOSE(CONTROL!$C$15, $D$11, 100%, $F$11)</f>
        <v>6.1525999999999996</v>
      </c>
      <c r="G88" s="8">
        <f>5.3701 * CHOOSE( CONTROL!$C$15, $D$11, 100%, $F$11)</f>
        <v>5.3700999999999999</v>
      </c>
      <c r="H88" s="4">
        <f>6.244 * CHOOSE(CONTROL!$C$15, $D$11, 100%, $F$11)</f>
        <v>6.2439999999999998</v>
      </c>
      <c r="I88" s="8">
        <f>5.4214 * CHOOSE(CONTROL!$C$15, $D$11, 100%, $F$11)</f>
        <v>5.4214000000000002</v>
      </c>
      <c r="J88" s="4">
        <f>5.2554 * CHOOSE(CONTROL!$C$15, $D$11, 100%, $F$11)</f>
        <v>5.2553999999999998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33.225200000000001</v>
      </c>
      <c r="R88" s="9"/>
      <c r="S88" s="11"/>
    </row>
    <row r="89" spans="1:19" ht="15.75">
      <c r="A89" s="13">
        <v>44197</v>
      </c>
      <c r="B89" s="8">
        <f>5.9638 * CHOOSE(CONTROL!$C$15, $D$11, 100%, $F$11)</f>
        <v>5.9638</v>
      </c>
      <c r="C89" s="8">
        <f>5.969 * CHOOSE(CONTROL!$C$15, $D$11, 100%, $F$11)</f>
        <v>5.9690000000000003</v>
      </c>
      <c r="D89" s="8">
        <f>5.9514 * CHOOSE( CONTROL!$C$15, $D$11, 100%, $F$11)</f>
        <v>5.9513999999999996</v>
      </c>
      <c r="E89" s="12">
        <f>5.9573 * CHOOSE( CONTROL!$C$15, $D$11, 100%, $F$11)</f>
        <v>5.9573</v>
      </c>
      <c r="F89" s="4">
        <f>6.6143 * CHOOSE(CONTROL!$C$15, $D$11, 100%, $F$11)</f>
        <v>6.6143000000000001</v>
      </c>
      <c r="G89" s="8">
        <f>5.811 * CHOOSE( CONTROL!$C$15, $D$11, 100%, $F$11)</f>
        <v>5.8109999999999999</v>
      </c>
      <c r="H89" s="4">
        <f>6.6949 * CHOOSE(CONTROL!$C$15, $D$11, 100%, $F$11)</f>
        <v>6.6948999999999996</v>
      </c>
      <c r="I89" s="8">
        <f>5.8247 * CHOOSE(CONTROL!$C$15, $D$11, 100%, $F$11)</f>
        <v>5.8247</v>
      </c>
      <c r="J89" s="4">
        <f>5.6987 * CHOOSE(CONTROL!$C$15, $D$11, 100%, $F$11)</f>
        <v>5.6986999999999997</v>
      </c>
      <c r="K89" s="4"/>
      <c r="L89" s="9">
        <v>29.306000000000001</v>
      </c>
      <c r="M89" s="9">
        <v>12.063700000000001</v>
      </c>
      <c r="N89" s="9">
        <v>4.9444999999999997</v>
      </c>
      <c r="O89" s="9">
        <v>0.37409999999999999</v>
      </c>
      <c r="P89" s="9">
        <v>1.2927</v>
      </c>
      <c r="Q89" s="9">
        <v>33.011299999999999</v>
      </c>
      <c r="R89" s="9"/>
      <c r="S89" s="11"/>
    </row>
    <row r="90" spans="1:19" ht="15.75">
      <c r="A90" s="13">
        <v>44228</v>
      </c>
      <c r="B90" s="8">
        <f>5.5801 * CHOOSE(CONTROL!$C$15, $D$11, 100%, $F$11)</f>
        <v>5.5800999999999998</v>
      </c>
      <c r="C90" s="8">
        <f>5.5853 * CHOOSE(CONTROL!$C$15, $D$11, 100%, $F$11)</f>
        <v>5.5853000000000002</v>
      </c>
      <c r="D90" s="8">
        <f>5.5677 * CHOOSE( CONTROL!$C$15, $D$11, 100%, $F$11)</f>
        <v>5.5677000000000003</v>
      </c>
      <c r="E90" s="12">
        <f>5.5736 * CHOOSE( CONTROL!$C$15, $D$11, 100%, $F$11)</f>
        <v>5.5735999999999999</v>
      </c>
      <c r="F90" s="4">
        <f>6.2306 * CHOOSE(CONTROL!$C$15, $D$11, 100%, $F$11)</f>
        <v>6.2305999999999999</v>
      </c>
      <c r="G90" s="8">
        <f>5.4362 * CHOOSE( CONTROL!$C$15, $D$11, 100%, $F$11)</f>
        <v>5.4362000000000004</v>
      </c>
      <c r="H90" s="4">
        <f>6.3202 * CHOOSE(CONTROL!$C$15, $D$11, 100%, $F$11)</f>
        <v>6.3201999999999998</v>
      </c>
      <c r="I90" s="8">
        <f>5.4559 * CHOOSE(CONTROL!$C$15, $D$11, 100%, $F$11)</f>
        <v>5.4558999999999997</v>
      </c>
      <c r="J90" s="4">
        <f>5.3303 * CHOOSE(CONTROL!$C$15, $D$11, 100%, $F$11)</f>
        <v>5.3303000000000003</v>
      </c>
      <c r="K90" s="4"/>
      <c r="L90" s="9">
        <v>26.469899999999999</v>
      </c>
      <c r="M90" s="9">
        <v>10.8962</v>
      </c>
      <c r="N90" s="9">
        <v>4.4660000000000002</v>
      </c>
      <c r="O90" s="9">
        <v>0.33789999999999998</v>
      </c>
      <c r="P90" s="9">
        <v>1.1676</v>
      </c>
      <c r="Q90" s="9">
        <v>29.816600000000001</v>
      </c>
      <c r="R90" s="9"/>
      <c r="S90" s="11"/>
    </row>
    <row r="91" spans="1:19" ht="15.75">
      <c r="A91" s="13">
        <v>44256</v>
      </c>
      <c r="B91" s="8">
        <f>5.4619 * CHOOSE(CONTROL!$C$15, $D$11, 100%, $F$11)</f>
        <v>5.4619</v>
      </c>
      <c r="C91" s="8">
        <f>5.4671 * CHOOSE(CONTROL!$C$15, $D$11, 100%, $F$11)</f>
        <v>5.4671000000000003</v>
      </c>
      <c r="D91" s="8">
        <f>5.4491 * CHOOSE( CONTROL!$C$15, $D$11, 100%, $F$11)</f>
        <v>5.4490999999999996</v>
      </c>
      <c r="E91" s="12">
        <f>5.4551 * CHOOSE( CONTROL!$C$15, $D$11, 100%, $F$11)</f>
        <v>5.4550999999999998</v>
      </c>
      <c r="F91" s="4">
        <f>6.1124 * CHOOSE(CONTROL!$C$15, $D$11, 100%, $F$11)</f>
        <v>6.1124000000000001</v>
      </c>
      <c r="G91" s="8">
        <f>5.3205 * CHOOSE( CONTROL!$C$15, $D$11, 100%, $F$11)</f>
        <v>5.3205</v>
      </c>
      <c r="H91" s="4">
        <f>6.2047 * CHOOSE(CONTROL!$C$15, $D$11, 100%, $F$11)</f>
        <v>6.2046999999999999</v>
      </c>
      <c r="I91" s="8">
        <f>5.3412 * CHOOSE(CONTROL!$C$15, $D$11, 100%, $F$11)</f>
        <v>5.3411999999999997</v>
      </c>
      <c r="J91" s="4">
        <f>5.2168 * CHOOSE(CONTROL!$C$15, $D$11, 100%, $F$11)</f>
        <v>5.2168000000000001</v>
      </c>
      <c r="K91" s="4"/>
      <c r="L91" s="9">
        <v>29.306000000000001</v>
      </c>
      <c r="M91" s="9">
        <v>12.063700000000001</v>
      </c>
      <c r="N91" s="9">
        <v>4.9444999999999997</v>
      </c>
      <c r="O91" s="9">
        <v>0.37409999999999999</v>
      </c>
      <c r="P91" s="9">
        <v>1.2927</v>
      </c>
      <c r="Q91" s="9">
        <v>33.011299999999999</v>
      </c>
      <c r="R91" s="9"/>
      <c r="S91" s="11"/>
    </row>
    <row r="92" spans="1:19" ht="15.75">
      <c r="A92" s="13">
        <v>44287</v>
      </c>
      <c r="B92" s="8">
        <f>5.5453 * CHOOSE(CONTROL!$C$15, $D$11, 100%, $F$11)</f>
        <v>5.5453000000000001</v>
      </c>
      <c r="C92" s="8">
        <f>5.5499 * CHOOSE(CONTROL!$C$15, $D$11, 100%, $F$11)</f>
        <v>5.5499000000000001</v>
      </c>
      <c r="D92" s="8">
        <f>5.581 * CHOOSE( CONTROL!$C$15, $D$11, 100%, $F$11)</f>
        <v>5.5810000000000004</v>
      </c>
      <c r="E92" s="12">
        <f>5.5702 * CHOOSE( CONTROL!$C$15, $D$11, 100%, $F$11)</f>
        <v>5.5701999999999998</v>
      </c>
      <c r="F92" s="4">
        <f>6.259 * CHOOSE(CONTROL!$C$15, $D$11, 100%, $F$11)</f>
        <v>6.2590000000000003</v>
      </c>
      <c r="G92" s="8">
        <f>5.402 * CHOOSE( CONTROL!$C$15, $D$11, 100%, $F$11)</f>
        <v>5.4020000000000001</v>
      </c>
      <c r="H92" s="4">
        <f>6.348 * CHOOSE(CONTROL!$C$15, $D$11, 100%, $F$11)</f>
        <v>6.3479999999999999</v>
      </c>
      <c r="I92" s="8">
        <f>5.4111 * CHOOSE(CONTROL!$C$15, $D$11, 100%, $F$11)</f>
        <v>5.4111000000000002</v>
      </c>
      <c r="J92" s="4">
        <f>5.2961 * CHOOSE(CONTROL!$C$15, $D$11, 100%, $F$11)</f>
        <v>5.2961</v>
      </c>
      <c r="K92" s="4"/>
      <c r="L92" s="9">
        <v>30.092199999999998</v>
      </c>
      <c r="M92" s="9">
        <v>11.6745</v>
      </c>
      <c r="N92" s="9">
        <v>4.7850000000000001</v>
      </c>
      <c r="O92" s="9">
        <v>0.36199999999999999</v>
      </c>
      <c r="P92" s="9">
        <v>1.1791</v>
      </c>
      <c r="Q92" s="9">
        <v>31.946400000000001</v>
      </c>
      <c r="R92" s="9"/>
      <c r="S92" s="11"/>
    </row>
    <row r="93" spans="1:19" ht="15.75">
      <c r="A93" s="13">
        <v>44317</v>
      </c>
      <c r="B93" s="8">
        <f>CHOOSE( CONTROL!$C$32, 5.6992, 5.6936) * CHOOSE(CONTROL!$C$15, $D$11, 100%, $F$11)</f>
        <v>5.6992000000000003</v>
      </c>
      <c r="C93" s="8">
        <f>CHOOSE( CONTROL!$C$32, 5.7073, 5.7017) * CHOOSE(CONTROL!$C$15, $D$11, 100%, $F$11)</f>
        <v>5.7073</v>
      </c>
      <c r="D93" s="8">
        <f>CHOOSE( CONTROL!$C$32, 5.7332, 5.7277) * CHOOSE( CONTROL!$C$15, $D$11, 100%, $F$11)</f>
        <v>5.7332000000000001</v>
      </c>
      <c r="E93" s="12">
        <f>CHOOSE( CONTROL!$C$32, 5.7226, 5.717) * CHOOSE( CONTROL!$C$15, $D$11, 100%, $F$11)</f>
        <v>5.7225999999999999</v>
      </c>
      <c r="F93" s="4">
        <f>CHOOSE( CONTROL!$C$32, 6.4116, 6.406) * CHOOSE(CONTROL!$C$15, $D$11, 100%, $F$11)</f>
        <v>6.4116</v>
      </c>
      <c r="G93" s="8">
        <f>CHOOSE( CONTROL!$C$32, 5.5521, 5.5467) * CHOOSE( CONTROL!$C$15, $D$11, 100%, $F$11)</f>
        <v>5.5521000000000003</v>
      </c>
      <c r="H93" s="4">
        <f>CHOOSE( CONTROL!$C$32, 6.497, 6.4915) * CHOOSE(CONTROL!$C$15, $D$11, 100%, $F$11)</f>
        <v>6.4969999999999999</v>
      </c>
      <c r="I93" s="8">
        <f>CHOOSE( CONTROL!$C$32, 5.5575, 5.5522) * CHOOSE(CONTROL!$C$15, $D$11, 100%, $F$11)</f>
        <v>5.5575000000000001</v>
      </c>
      <c r="J93" s="4">
        <f>CHOOSE( CONTROL!$C$32, 5.4425, 5.4372) * CHOOSE(CONTROL!$C$15, $D$11, 100%, $F$11)</f>
        <v>5.4424999999999999</v>
      </c>
      <c r="K93" s="4"/>
      <c r="L93" s="9">
        <v>30.7165</v>
      </c>
      <c r="M93" s="9">
        <v>12.063700000000001</v>
      </c>
      <c r="N93" s="9">
        <v>4.9444999999999997</v>
      </c>
      <c r="O93" s="9">
        <v>0.37409999999999999</v>
      </c>
      <c r="P93" s="9">
        <v>1.2183999999999999</v>
      </c>
      <c r="Q93" s="9">
        <v>33.011299999999999</v>
      </c>
      <c r="R93" s="9"/>
      <c r="S93" s="11"/>
    </row>
    <row r="94" spans="1:19" ht="15.75">
      <c r="A94" s="13">
        <v>44348</v>
      </c>
      <c r="B94" s="8">
        <f>CHOOSE( CONTROL!$C$32, 5.6081, 5.6025) * CHOOSE(CONTROL!$C$15, $D$11, 100%, $F$11)</f>
        <v>5.6081000000000003</v>
      </c>
      <c r="C94" s="8">
        <f>CHOOSE( CONTROL!$C$32, 5.6162, 5.6106) * CHOOSE(CONTROL!$C$15, $D$11, 100%, $F$11)</f>
        <v>5.6162000000000001</v>
      </c>
      <c r="D94" s="8">
        <f>CHOOSE( CONTROL!$C$32, 5.6423, 5.6368) * CHOOSE( CONTROL!$C$15, $D$11, 100%, $F$11)</f>
        <v>5.6422999999999996</v>
      </c>
      <c r="E94" s="12">
        <f>CHOOSE( CONTROL!$C$32, 5.6316, 5.6261) * CHOOSE( CONTROL!$C$15, $D$11, 100%, $F$11)</f>
        <v>5.6315999999999997</v>
      </c>
      <c r="F94" s="4">
        <f>CHOOSE( CONTROL!$C$32, 6.3205, 6.3149) * CHOOSE(CONTROL!$C$15, $D$11, 100%, $F$11)</f>
        <v>6.3205</v>
      </c>
      <c r="G94" s="8">
        <f>CHOOSE( CONTROL!$C$32, 5.4634, 5.458) * CHOOSE( CONTROL!$C$15, $D$11, 100%, $F$11)</f>
        <v>5.4634</v>
      </c>
      <c r="H94" s="4">
        <f>CHOOSE( CONTROL!$C$32, 6.408, 6.4026) * CHOOSE(CONTROL!$C$15, $D$11, 100%, $F$11)</f>
        <v>6.4080000000000004</v>
      </c>
      <c r="I94" s="8">
        <f>CHOOSE( CONTROL!$C$32, 5.4709, 5.4655) * CHOOSE(CONTROL!$C$15, $D$11, 100%, $F$11)</f>
        <v>5.4709000000000003</v>
      </c>
      <c r="J94" s="4">
        <f>CHOOSE( CONTROL!$C$32, 5.3551, 5.3498) * CHOOSE(CONTROL!$C$15, $D$11, 100%, $F$11)</f>
        <v>5.3551000000000002</v>
      </c>
      <c r="K94" s="4"/>
      <c r="L94" s="9">
        <v>29.7257</v>
      </c>
      <c r="M94" s="9">
        <v>11.6745</v>
      </c>
      <c r="N94" s="9">
        <v>4.7850000000000001</v>
      </c>
      <c r="O94" s="9">
        <v>0.36199999999999999</v>
      </c>
      <c r="P94" s="9">
        <v>1.1791</v>
      </c>
      <c r="Q94" s="9">
        <v>31.946400000000001</v>
      </c>
      <c r="R94" s="9"/>
      <c r="S94" s="11"/>
    </row>
    <row r="95" spans="1:19" ht="15.75">
      <c r="A95" s="13">
        <v>44378</v>
      </c>
      <c r="B95" s="8">
        <f>CHOOSE( CONTROL!$C$32, 5.8479, 5.8423) * CHOOSE(CONTROL!$C$15, $D$11, 100%, $F$11)</f>
        <v>5.8479000000000001</v>
      </c>
      <c r="C95" s="8">
        <f>CHOOSE( CONTROL!$C$32, 5.856, 5.8504) * CHOOSE(CONTROL!$C$15, $D$11, 100%, $F$11)</f>
        <v>5.8559999999999999</v>
      </c>
      <c r="D95" s="8">
        <f>CHOOSE( CONTROL!$C$32, 5.8823, 5.8767) * CHOOSE( CONTROL!$C$15, $D$11, 100%, $F$11)</f>
        <v>5.8822999999999999</v>
      </c>
      <c r="E95" s="12">
        <f>CHOOSE( CONTROL!$C$32, 5.8715, 5.8659) * CHOOSE( CONTROL!$C$15, $D$11, 100%, $F$11)</f>
        <v>5.8715000000000002</v>
      </c>
      <c r="F95" s="4">
        <f>CHOOSE( CONTROL!$C$32, 6.5603, 6.5547) * CHOOSE(CONTROL!$C$15, $D$11, 100%, $F$11)</f>
        <v>6.5602999999999998</v>
      </c>
      <c r="G95" s="8">
        <f>CHOOSE( CONTROL!$C$32, 5.6979, 5.6925) * CHOOSE( CONTROL!$C$15, $D$11, 100%, $F$11)</f>
        <v>5.6978999999999997</v>
      </c>
      <c r="H95" s="4">
        <f>CHOOSE( CONTROL!$C$32, 6.6422, 6.6368) * CHOOSE(CONTROL!$C$15, $D$11, 100%, $F$11)</f>
        <v>6.6421999999999999</v>
      </c>
      <c r="I95" s="8">
        <f>CHOOSE( CONTROL!$C$32, 5.7022, 5.6968) * CHOOSE(CONTROL!$C$15, $D$11, 100%, $F$11)</f>
        <v>5.7022000000000004</v>
      </c>
      <c r="J95" s="4">
        <f>CHOOSE( CONTROL!$C$32, 5.5853, 5.58) * CHOOSE(CONTROL!$C$15, $D$11, 100%, $F$11)</f>
        <v>5.5853000000000002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1.2183999999999999</v>
      </c>
      <c r="Q95" s="9">
        <v>33.011299999999999</v>
      </c>
      <c r="R95" s="9"/>
      <c r="S95" s="11"/>
    </row>
    <row r="96" spans="1:19" ht="15.75">
      <c r="A96" s="13">
        <v>44409</v>
      </c>
      <c r="B96" s="8">
        <f>CHOOSE( CONTROL!$C$32, 5.3993, 5.3937) * CHOOSE(CONTROL!$C$15, $D$11, 100%, $F$11)</f>
        <v>5.3993000000000002</v>
      </c>
      <c r="C96" s="8">
        <f>CHOOSE( CONTROL!$C$32, 5.4073, 5.4018) * CHOOSE(CONTROL!$C$15, $D$11, 100%, $F$11)</f>
        <v>5.4073000000000002</v>
      </c>
      <c r="D96" s="8">
        <f>CHOOSE( CONTROL!$C$32, 5.4337, 5.4282) * CHOOSE( CONTROL!$C$15, $D$11, 100%, $F$11)</f>
        <v>5.4337</v>
      </c>
      <c r="E96" s="12">
        <f>CHOOSE( CONTROL!$C$32, 5.4229, 5.4174) * CHOOSE( CONTROL!$C$15, $D$11, 100%, $F$11)</f>
        <v>5.4229000000000003</v>
      </c>
      <c r="F96" s="4">
        <f>CHOOSE( CONTROL!$C$32, 6.1116, 6.1061) * CHOOSE(CONTROL!$C$15, $D$11, 100%, $F$11)</f>
        <v>6.1116000000000001</v>
      </c>
      <c r="G96" s="8">
        <f>CHOOSE( CONTROL!$C$32, 5.2598, 5.2544) * CHOOSE( CONTROL!$C$15, $D$11, 100%, $F$11)</f>
        <v>5.2598000000000003</v>
      </c>
      <c r="H96" s="4">
        <f>CHOOSE( CONTROL!$C$32, 6.204, 6.1986) * CHOOSE(CONTROL!$C$15, $D$11, 100%, $F$11)</f>
        <v>6.2039999999999997</v>
      </c>
      <c r="I96" s="8">
        <f>CHOOSE( CONTROL!$C$32, 5.2715, 5.2661) * CHOOSE(CONTROL!$C$15, $D$11, 100%, $F$11)</f>
        <v>5.2714999999999996</v>
      </c>
      <c r="J96" s="4">
        <f>CHOOSE( CONTROL!$C$32, 5.1546, 5.1493) * CHOOSE(CONTROL!$C$15, $D$11, 100%, $F$11)</f>
        <v>5.1546000000000003</v>
      </c>
      <c r="K96" s="4"/>
      <c r="L96" s="9">
        <v>30.7165</v>
      </c>
      <c r="M96" s="9">
        <v>12.063700000000001</v>
      </c>
      <c r="N96" s="9">
        <v>4.9444999999999997</v>
      </c>
      <c r="O96" s="9">
        <v>0.37409999999999999</v>
      </c>
      <c r="P96" s="9">
        <v>1.2183999999999999</v>
      </c>
      <c r="Q96" s="9">
        <v>33.011299999999999</v>
      </c>
      <c r="R96" s="9"/>
      <c r="S96" s="11"/>
    </row>
    <row r="97" spans="1:19" ht="15.75">
      <c r="A97" s="13">
        <v>44440</v>
      </c>
      <c r="B97" s="8">
        <f>CHOOSE( CONTROL!$C$32, 5.2869, 5.2813) * CHOOSE(CONTROL!$C$15, $D$11, 100%, $F$11)</f>
        <v>5.2869000000000002</v>
      </c>
      <c r="C97" s="8">
        <f>CHOOSE( CONTROL!$C$32, 5.295, 5.2894) * CHOOSE(CONTROL!$C$15, $D$11, 100%, $F$11)</f>
        <v>5.2949999999999999</v>
      </c>
      <c r="D97" s="8">
        <f>CHOOSE( CONTROL!$C$32, 5.3213, 5.3158) * CHOOSE( CONTROL!$C$15, $D$11, 100%, $F$11)</f>
        <v>5.3212999999999999</v>
      </c>
      <c r="E97" s="12">
        <f>CHOOSE( CONTROL!$C$32, 5.3105, 5.305) * CHOOSE( CONTROL!$C$15, $D$11, 100%, $F$11)</f>
        <v>5.3105000000000002</v>
      </c>
      <c r="F97" s="4">
        <f>CHOOSE( CONTROL!$C$32, 5.9993, 5.9937) * CHOOSE(CONTROL!$C$15, $D$11, 100%, $F$11)</f>
        <v>5.9992999999999999</v>
      </c>
      <c r="G97" s="8">
        <f>CHOOSE( CONTROL!$C$32, 5.15, 5.1446) * CHOOSE( CONTROL!$C$15, $D$11, 100%, $F$11)</f>
        <v>5.15</v>
      </c>
      <c r="H97" s="4">
        <f>CHOOSE( CONTROL!$C$32, 6.0943, 6.0889) * CHOOSE(CONTROL!$C$15, $D$11, 100%, $F$11)</f>
        <v>6.0942999999999996</v>
      </c>
      <c r="I97" s="8">
        <f>CHOOSE( CONTROL!$C$32, 5.1633, 5.158) * CHOOSE(CONTROL!$C$15, $D$11, 100%, $F$11)</f>
        <v>5.1632999999999996</v>
      </c>
      <c r="J97" s="4">
        <f>CHOOSE( CONTROL!$C$32, 5.0467, 5.0414) * CHOOSE(CONTROL!$C$15, $D$11, 100%, $F$11)</f>
        <v>5.0467000000000004</v>
      </c>
      <c r="K97" s="4"/>
      <c r="L97" s="9">
        <v>29.7257</v>
      </c>
      <c r="M97" s="9">
        <v>11.6745</v>
      </c>
      <c r="N97" s="9">
        <v>4.7850000000000001</v>
      </c>
      <c r="O97" s="9">
        <v>0.36199999999999999</v>
      </c>
      <c r="P97" s="9">
        <v>1.1791</v>
      </c>
      <c r="Q97" s="9">
        <v>31.946400000000001</v>
      </c>
      <c r="R97" s="9"/>
      <c r="S97" s="11"/>
    </row>
    <row r="98" spans="1:19" ht="15.75">
      <c r="A98" s="13">
        <v>44470</v>
      </c>
      <c r="B98" s="8">
        <f>5.5129 * CHOOSE(CONTROL!$C$15, $D$11, 100%, $F$11)</f>
        <v>5.5129000000000001</v>
      </c>
      <c r="C98" s="8">
        <f>5.5183 * CHOOSE(CONTROL!$C$15, $D$11, 100%, $F$11)</f>
        <v>5.5183</v>
      </c>
      <c r="D98" s="8">
        <f>5.5495 * CHOOSE( CONTROL!$C$15, $D$11, 100%, $F$11)</f>
        <v>5.5495000000000001</v>
      </c>
      <c r="E98" s="12">
        <f>5.5386 * CHOOSE( CONTROL!$C$15, $D$11, 100%, $F$11)</f>
        <v>5.5385999999999997</v>
      </c>
      <c r="F98" s="4">
        <f>6.227 * CHOOSE(CONTROL!$C$15, $D$11, 100%, $F$11)</f>
        <v>6.2270000000000003</v>
      </c>
      <c r="G98" s="8">
        <f>5.3715 * CHOOSE( CONTROL!$C$15, $D$11, 100%, $F$11)</f>
        <v>5.3715000000000002</v>
      </c>
      <c r="H98" s="4">
        <f>6.3167 * CHOOSE(CONTROL!$C$15, $D$11, 100%, $F$11)</f>
        <v>6.3167</v>
      </c>
      <c r="I98" s="8">
        <f>5.3829 * CHOOSE(CONTROL!$C$15, $D$11, 100%, $F$11)</f>
        <v>5.3829000000000002</v>
      </c>
      <c r="J98" s="4">
        <f>5.2653 * CHOOSE(CONTROL!$C$15, $D$11, 100%, $F$11)</f>
        <v>5.2652999999999999</v>
      </c>
      <c r="K98" s="4"/>
      <c r="L98" s="9">
        <v>31.095300000000002</v>
      </c>
      <c r="M98" s="9">
        <v>12.063700000000001</v>
      </c>
      <c r="N98" s="9">
        <v>4.9444999999999997</v>
      </c>
      <c r="O98" s="9">
        <v>0.37409999999999999</v>
      </c>
      <c r="P98" s="9">
        <v>1.2183999999999999</v>
      </c>
      <c r="Q98" s="9">
        <v>33.011299999999999</v>
      </c>
      <c r="R98" s="9"/>
      <c r="S98" s="11"/>
    </row>
    <row r="99" spans="1:19" ht="15.75">
      <c r="A99" s="13">
        <v>44501</v>
      </c>
      <c r="B99" s="8">
        <f>5.943 * CHOOSE(CONTROL!$C$15, $D$11, 100%, $F$11)</f>
        <v>5.9429999999999996</v>
      </c>
      <c r="C99" s="8">
        <f>5.9482 * CHOOSE(CONTROL!$C$15, $D$11, 100%, $F$11)</f>
        <v>5.9481999999999999</v>
      </c>
      <c r="D99" s="8">
        <f>5.9344 * CHOOSE( CONTROL!$C$15, $D$11, 100%, $F$11)</f>
        <v>5.9344000000000001</v>
      </c>
      <c r="E99" s="12">
        <f>5.9389 * CHOOSE( CONTROL!$C$15, $D$11, 100%, $F$11)</f>
        <v>5.9389000000000003</v>
      </c>
      <c r="F99" s="4">
        <f>6.5935 * CHOOSE(CONTROL!$C$15, $D$11, 100%, $F$11)</f>
        <v>6.5934999999999997</v>
      </c>
      <c r="G99" s="8">
        <f>5.7996 * CHOOSE( CONTROL!$C$15, $D$11, 100%, $F$11)</f>
        <v>5.7995999999999999</v>
      </c>
      <c r="H99" s="4">
        <f>6.6747 * CHOOSE(CONTROL!$C$15, $D$11, 100%, $F$11)</f>
        <v>6.6746999999999996</v>
      </c>
      <c r="I99" s="8">
        <f>5.8401 * CHOOSE(CONTROL!$C$15, $D$11, 100%, $F$11)</f>
        <v>5.8400999999999996</v>
      </c>
      <c r="J99" s="4">
        <f>5.6787 * CHOOSE(CONTROL!$C$15, $D$11, 100%, $F$11)</f>
        <v>5.6787000000000001</v>
      </c>
      <c r="K99" s="4"/>
      <c r="L99" s="9">
        <v>28.360600000000002</v>
      </c>
      <c r="M99" s="9">
        <v>11.6745</v>
      </c>
      <c r="N99" s="9">
        <v>4.7850000000000001</v>
      </c>
      <c r="O99" s="9">
        <v>0.36199999999999999</v>
      </c>
      <c r="P99" s="9">
        <v>1.2509999999999999</v>
      </c>
      <c r="Q99" s="9">
        <v>31.946400000000001</v>
      </c>
      <c r="R99" s="9"/>
      <c r="S99" s="11"/>
    </row>
    <row r="100" spans="1:19" ht="15.75">
      <c r="A100" s="13">
        <v>44531</v>
      </c>
      <c r="B100" s="8">
        <f>5.9323 * CHOOSE(CONTROL!$C$15, $D$11, 100%, $F$11)</f>
        <v>5.9322999999999997</v>
      </c>
      <c r="C100" s="8">
        <f>5.9375 * CHOOSE(CONTROL!$C$15, $D$11, 100%, $F$11)</f>
        <v>5.9375</v>
      </c>
      <c r="D100" s="8">
        <f>5.9252 * CHOOSE( CONTROL!$C$15, $D$11, 100%, $F$11)</f>
        <v>5.9252000000000002</v>
      </c>
      <c r="E100" s="12">
        <f>5.9291 * CHOOSE( CONTROL!$C$15, $D$11, 100%, $F$11)</f>
        <v>5.9291</v>
      </c>
      <c r="F100" s="4">
        <f>6.5827 * CHOOSE(CONTROL!$C$15, $D$11, 100%, $F$11)</f>
        <v>6.5827</v>
      </c>
      <c r="G100" s="8">
        <f>5.7902 * CHOOSE( CONTROL!$C$15, $D$11, 100%, $F$11)</f>
        <v>5.7901999999999996</v>
      </c>
      <c r="H100" s="4">
        <f>6.6641 * CHOOSE(CONTROL!$C$15, $D$11, 100%, $F$11)</f>
        <v>6.6641000000000004</v>
      </c>
      <c r="I100" s="8">
        <f>5.8346 * CHOOSE(CONTROL!$C$15, $D$11, 100%, $F$11)</f>
        <v>5.8346</v>
      </c>
      <c r="J100" s="4">
        <f>5.6684 * CHOOSE(CONTROL!$C$15, $D$11, 100%, $F$11)</f>
        <v>5.6684000000000001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33.011299999999999</v>
      </c>
      <c r="R100" s="9"/>
      <c r="S100" s="11"/>
    </row>
    <row r="101" spans="1:19" ht="15.75">
      <c r="A101" s="13">
        <v>44562</v>
      </c>
      <c r="B101" s="8">
        <f>6.2863 * CHOOSE(CONTROL!$C$15, $D$11, 100%, $F$11)</f>
        <v>6.2862999999999998</v>
      </c>
      <c r="C101" s="8">
        <f>6.2915 * CHOOSE(CONTROL!$C$15, $D$11, 100%, $F$11)</f>
        <v>6.2915000000000001</v>
      </c>
      <c r="D101" s="8">
        <f>6.2739 * CHOOSE( CONTROL!$C$15, $D$11, 100%, $F$11)</f>
        <v>6.2739000000000003</v>
      </c>
      <c r="E101" s="12">
        <f>6.2798 * CHOOSE( CONTROL!$C$15, $D$11, 100%, $F$11)</f>
        <v>6.2797999999999998</v>
      </c>
      <c r="F101" s="4">
        <f>6.9368 * CHOOSE(CONTROL!$C$15, $D$11, 100%, $F$11)</f>
        <v>6.9367999999999999</v>
      </c>
      <c r="G101" s="8">
        <f>6.126 * CHOOSE( CONTROL!$C$15, $D$11, 100%, $F$11)</f>
        <v>6.1260000000000003</v>
      </c>
      <c r="H101" s="4">
        <f>7.0099 * CHOOSE(CONTROL!$C$15, $D$11, 100%, $F$11)</f>
        <v>7.0099</v>
      </c>
      <c r="I101" s="8">
        <f>6.1345 * CHOOSE(CONTROL!$C$15, $D$11, 100%, $F$11)</f>
        <v>6.1345000000000001</v>
      </c>
      <c r="J101" s="4">
        <f>6.0083 * CHOOSE(CONTROL!$C$15, $D$11, 100%, $F$11)</f>
        <v>6.0083000000000002</v>
      </c>
      <c r="K101" s="4"/>
      <c r="L101" s="9">
        <v>29.306000000000001</v>
      </c>
      <c r="M101" s="9">
        <v>12.063700000000001</v>
      </c>
      <c r="N101" s="9">
        <v>4.9444999999999997</v>
      </c>
      <c r="O101" s="9">
        <v>0.37409999999999999</v>
      </c>
      <c r="P101" s="9">
        <v>1.2927</v>
      </c>
      <c r="Q101" s="9">
        <v>32.8123</v>
      </c>
      <c r="R101" s="9"/>
      <c r="S101" s="11"/>
    </row>
    <row r="102" spans="1:19" ht="15.75">
      <c r="A102" s="13">
        <v>44593</v>
      </c>
      <c r="B102" s="8">
        <f>5.8817 * CHOOSE(CONTROL!$C$15, $D$11, 100%, $F$11)</f>
        <v>5.8817000000000004</v>
      </c>
      <c r="C102" s="8">
        <f>5.8869 * CHOOSE(CONTROL!$C$15, $D$11, 100%, $F$11)</f>
        <v>5.8868999999999998</v>
      </c>
      <c r="D102" s="8">
        <f>5.8693 * CHOOSE( CONTROL!$C$15, $D$11, 100%, $F$11)</f>
        <v>5.8693</v>
      </c>
      <c r="E102" s="12">
        <f>5.8752 * CHOOSE( CONTROL!$C$15, $D$11, 100%, $F$11)</f>
        <v>5.8752000000000004</v>
      </c>
      <c r="F102" s="4">
        <f>6.5322 * CHOOSE(CONTROL!$C$15, $D$11, 100%, $F$11)</f>
        <v>6.5321999999999996</v>
      </c>
      <c r="G102" s="8">
        <f>5.7308 * CHOOSE( CONTROL!$C$15, $D$11, 100%, $F$11)</f>
        <v>5.7308000000000003</v>
      </c>
      <c r="H102" s="4">
        <f>6.6148 * CHOOSE(CONTROL!$C$15, $D$11, 100%, $F$11)</f>
        <v>6.6147999999999998</v>
      </c>
      <c r="I102" s="8">
        <f>5.7457 * CHOOSE(CONTROL!$C$15, $D$11, 100%, $F$11)</f>
        <v>5.7457000000000003</v>
      </c>
      <c r="J102" s="4">
        <f>5.6199 * CHOOSE(CONTROL!$C$15, $D$11, 100%, $F$11)</f>
        <v>5.6199000000000003</v>
      </c>
      <c r="K102" s="4"/>
      <c r="L102" s="9">
        <v>26.469899999999999</v>
      </c>
      <c r="M102" s="9">
        <v>10.8962</v>
      </c>
      <c r="N102" s="9">
        <v>4.4660000000000002</v>
      </c>
      <c r="O102" s="9">
        <v>0.33789999999999998</v>
      </c>
      <c r="P102" s="9">
        <v>1.1676</v>
      </c>
      <c r="Q102" s="9">
        <v>29.636900000000001</v>
      </c>
      <c r="R102" s="9"/>
      <c r="S102" s="11"/>
    </row>
    <row r="103" spans="1:19" ht="15.75">
      <c r="A103" s="13">
        <v>44621</v>
      </c>
      <c r="B103" s="8">
        <f>5.7571 * CHOOSE(CONTROL!$C$15, $D$11, 100%, $F$11)</f>
        <v>5.7571000000000003</v>
      </c>
      <c r="C103" s="8">
        <f>5.7623 * CHOOSE(CONTROL!$C$15, $D$11, 100%, $F$11)</f>
        <v>5.7622999999999998</v>
      </c>
      <c r="D103" s="8">
        <f>5.7443 * CHOOSE( CONTROL!$C$15, $D$11, 100%, $F$11)</f>
        <v>5.7443</v>
      </c>
      <c r="E103" s="12">
        <f>5.7503 * CHOOSE( CONTROL!$C$15, $D$11, 100%, $F$11)</f>
        <v>5.7503000000000002</v>
      </c>
      <c r="F103" s="4">
        <f>6.4076 * CHOOSE(CONTROL!$C$15, $D$11, 100%, $F$11)</f>
        <v>6.4076000000000004</v>
      </c>
      <c r="G103" s="8">
        <f>5.6088 * CHOOSE( CONTROL!$C$15, $D$11, 100%, $F$11)</f>
        <v>5.6087999999999996</v>
      </c>
      <c r="H103" s="4">
        <f>6.4931 * CHOOSE(CONTROL!$C$15, $D$11, 100%, $F$11)</f>
        <v>6.4931000000000001</v>
      </c>
      <c r="I103" s="8">
        <f>5.6248 * CHOOSE(CONTROL!$C$15, $D$11, 100%, $F$11)</f>
        <v>5.6247999999999996</v>
      </c>
      <c r="J103" s="4">
        <f>5.5002 * CHOOSE(CONTROL!$C$15, $D$11, 100%, $F$11)</f>
        <v>5.5002000000000004</v>
      </c>
      <c r="K103" s="4"/>
      <c r="L103" s="9">
        <v>29.306000000000001</v>
      </c>
      <c r="M103" s="9">
        <v>12.063700000000001</v>
      </c>
      <c r="N103" s="9">
        <v>4.9444999999999997</v>
      </c>
      <c r="O103" s="9">
        <v>0.37409999999999999</v>
      </c>
      <c r="P103" s="9">
        <v>1.2927</v>
      </c>
      <c r="Q103" s="9">
        <v>32.8123</v>
      </c>
      <c r="R103" s="9"/>
      <c r="S103" s="11"/>
    </row>
    <row r="104" spans="1:19" ht="15.75">
      <c r="A104" s="13">
        <v>44652</v>
      </c>
      <c r="B104" s="8">
        <f>5.845 * CHOOSE(CONTROL!$C$15, $D$11, 100%, $F$11)</f>
        <v>5.8449999999999998</v>
      </c>
      <c r="C104" s="8">
        <f>5.8496 * CHOOSE(CONTROL!$C$15, $D$11, 100%, $F$11)</f>
        <v>5.8495999999999997</v>
      </c>
      <c r="D104" s="8">
        <f>5.8807 * CHOOSE( CONTROL!$C$15, $D$11, 100%, $F$11)</f>
        <v>5.8807</v>
      </c>
      <c r="E104" s="12">
        <f>5.8699 * CHOOSE( CONTROL!$C$15, $D$11, 100%, $F$11)</f>
        <v>5.8699000000000003</v>
      </c>
      <c r="F104" s="4">
        <f>6.5587 * CHOOSE(CONTROL!$C$15, $D$11, 100%, $F$11)</f>
        <v>6.5587</v>
      </c>
      <c r="G104" s="8">
        <f>5.6947 * CHOOSE( CONTROL!$C$15, $D$11, 100%, $F$11)</f>
        <v>5.6947000000000001</v>
      </c>
      <c r="H104" s="4">
        <f>6.6407 * CHOOSE(CONTROL!$C$15, $D$11, 100%, $F$11)</f>
        <v>6.6406999999999998</v>
      </c>
      <c r="I104" s="8">
        <f>5.699 * CHOOSE(CONTROL!$C$15, $D$11, 100%, $F$11)</f>
        <v>5.6989999999999998</v>
      </c>
      <c r="J104" s="4">
        <f>5.5838 * CHOOSE(CONTROL!$C$15, $D$11, 100%, $F$11)</f>
        <v>5.5838000000000001</v>
      </c>
      <c r="K104" s="4"/>
      <c r="L104" s="9">
        <v>30.092199999999998</v>
      </c>
      <c r="M104" s="9">
        <v>11.6745</v>
      </c>
      <c r="N104" s="9">
        <v>4.7850000000000001</v>
      </c>
      <c r="O104" s="9">
        <v>0.36199999999999999</v>
      </c>
      <c r="P104" s="9">
        <v>1.1791</v>
      </c>
      <c r="Q104" s="9">
        <v>31.753799999999998</v>
      </c>
      <c r="R104" s="9"/>
      <c r="S104" s="11"/>
    </row>
    <row r="105" spans="1:19" ht="15.75">
      <c r="A105" s="13">
        <v>44682</v>
      </c>
      <c r="B105" s="8">
        <f>CHOOSE( CONTROL!$C$32, 6.0069, 6.0013) * CHOOSE(CONTROL!$C$15, $D$11, 100%, $F$11)</f>
        <v>6.0068999999999999</v>
      </c>
      <c r="C105" s="8">
        <f>CHOOSE( CONTROL!$C$32, 6.0149, 6.0094) * CHOOSE(CONTROL!$C$15, $D$11, 100%, $F$11)</f>
        <v>6.0148999999999999</v>
      </c>
      <c r="D105" s="8">
        <f>CHOOSE( CONTROL!$C$32, 6.0409, 6.0354) * CHOOSE( CONTROL!$C$15, $D$11, 100%, $F$11)</f>
        <v>6.0408999999999997</v>
      </c>
      <c r="E105" s="12">
        <f>CHOOSE( CONTROL!$C$32, 6.0303, 6.0247) * CHOOSE( CONTROL!$C$15, $D$11, 100%, $F$11)</f>
        <v>6.0303000000000004</v>
      </c>
      <c r="F105" s="4">
        <f>CHOOSE( CONTROL!$C$32, 6.7193, 6.7137) * CHOOSE(CONTROL!$C$15, $D$11, 100%, $F$11)</f>
        <v>6.7192999999999996</v>
      </c>
      <c r="G105" s="8">
        <f>CHOOSE( CONTROL!$C$32, 5.8526, 5.8472) * CHOOSE( CONTROL!$C$15, $D$11, 100%, $F$11)</f>
        <v>5.8525999999999998</v>
      </c>
      <c r="H105" s="4">
        <f>CHOOSE( CONTROL!$C$32, 6.7975, 6.792) * CHOOSE(CONTROL!$C$15, $D$11, 100%, $F$11)</f>
        <v>6.7975000000000003</v>
      </c>
      <c r="I105" s="8">
        <f>CHOOSE( CONTROL!$C$32, 5.8531, 5.8478) * CHOOSE(CONTROL!$C$15, $D$11, 100%, $F$11)</f>
        <v>5.8531000000000004</v>
      </c>
      <c r="J105" s="4">
        <f>CHOOSE( CONTROL!$C$32, 5.738, 5.7326) * CHOOSE(CONTROL!$C$15, $D$11, 100%, $F$11)</f>
        <v>5.7380000000000004</v>
      </c>
      <c r="K105" s="4"/>
      <c r="L105" s="9">
        <v>30.7165</v>
      </c>
      <c r="M105" s="9">
        <v>12.063700000000001</v>
      </c>
      <c r="N105" s="9">
        <v>4.9444999999999997</v>
      </c>
      <c r="O105" s="9">
        <v>0.37409999999999999</v>
      </c>
      <c r="P105" s="9">
        <v>1.2183999999999999</v>
      </c>
      <c r="Q105" s="9">
        <v>32.8123</v>
      </c>
      <c r="R105" s="9"/>
      <c r="S105" s="11"/>
    </row>
    <row r="106" spans="1:19" ht="15.75">
      <c r="A106" s="13">
        <v>44713</v>
      </c>
      <c r="B106" s="8">
        <f>CHOOSE( CONTROL!$C$32, 5.9109, 5.9053) * CHOOSE(CONTROL!$C$15, $D$11, 100%, $F$11)</f>
        <v>5.9108999999999998</v>
      </c>
      <c r="C106" s="8">
        <f>CHOOSE( CONTROL!$C$32, 5.919, 5.9134) * CHOOSE(CONTROL!$C$15, $D$11, 100%, $F$11)</f>
        <v>5.9189999999999996</v>
      </c>
      <c r="D106" s="8">
        <f>CHOOSE( CONTROL!$C$32, 5.9451, 5.9395) * CHOOSE( CONTROL!$C$15, $D$11, 100%, $F$11)</f>
        <v>5.9451000000000001</v>
      </c>
      <c r="E106" s="12">
        <f>CHOOSE( CONTROL!$C$32, 5.9344, 5.9288) * CHOOSE( CONTROL!$C$15, $D$11, 100%, $F$11)</f>
        <v>5.9344000000000001</v>
      </c>
      <c r="F106" s="4">
        <f>CHOOSE( CONTROL!$C$32, 6.6233, 6.6177) * CHOOSE(CONTROL!$C$15, $D$11, 100%, $F$11)</f>
        <v>6.6233000000000004</v>
      </c>
      <c r="G106" s="8">
        <f>CHOOSE( CONTROL!$C$32, 5.7591, 5.7537) * CHOOSE( CONTROL!$C$15, $D$11, 100%, $F$11)</f>
        <v>5.7591000000000001</v>
      </c>
      <c r="H106" s="4">
        <f>CHOOSE( CONTROL!$C$32, 6.7037, 6.6983) * CHOOSE(CONTROL!$C$15, $D$11, 100%, $F$11)</f>
        <v>6.7037000000000004</v>
      </c>
      <c r="I106" s="8">
        <f>CHOOSE( CONTROL!$C$32, 5.7617, 5.7563) * CHOOSE(CONTROL!$C$15, $D$11, 100%, $F$11)</f>
        <v>5.7617000000000003</v>
      </c>
      <c r="J106" s="4">
        <f>CHOOSE( CONTROL!$C$32, 5.6458, 5.6405) * CHOOSE(CONTROL!$C$15, $D$11, 100%, $F$11)</f>
        <v>5.6458000000000004</v>
      </c>
      <c r="K106" s="4"/>
      <c r="L106" s="9">
        <v>29.7257</v>
      </c>
      <c r="M106" s="9">
        <v>11.6745</v>
      </c>
      <c r="N106" s="9">
        <v>4.7850000000000001</v>
      </c>
      <c r="O106" s="9">
        <v>0.36199999999999999</v>
      </c>
      <c r="P106" s="9">
        <v>1.1791</v>
      </c>
      <c r="Q106" s="9">
        <v>31.753799999999998</v>
      </c>
      <c r="R106" s="9"/>
      <c r="S106" s="11"/>
    </row>
    <row r="107" spans="1:19" ht="15.75">
      <c r="A107" s="13">
        <v>44743</v>
      </c>
      <c r="B107" s="8">
        <f>CHOOSE( CONTROL!$C$32, 6.1637, 6.1581) * CHOOSE(CONTROL!$C$15, $D$11, 100%, $F$11)</f>
        <v>6.1637000000000004</v>
      </c>
      <c r="C107" s="8">
        <f>CHOOSE( CONTROL!$C$32, 6.1717, 6.1662) * CHOOSE(CONTROL!$C$15, $D$11, 100%, $F$11)</f>
        <v>6.1717000000000004</v>
      </c>
      <c r="D107" s="8">
        <f>CHOOSE( CONTROL!$C$32, 6.1981, 6.1925) * CHOOSE( CONTROL!$C$15, $D$11, 100%, $F$11)</f>
        <v>6.1981000000000002</v>
      </c>
      <c r="E107" s="12">
        <f>CHOOSE( CONTROL!$C$32, 6.1873, 6.1817) * CHOOSE( CONTROL!$C$15, $D$11, 100%, $F$11)</f>
        <v>6.1872999999999996</v>
      </c>
      <c r="F107" s="4">
        <f>CHOOSE( CONTROL!$C$32, 6.8761, 6.8705) * CHOOSE(CONTROL!$C$15, $D$11, 100%, $F$11)</f>
        <v>6.8761000000000001</v>
      </c>
      <c r="G107" s="8">
        <f>CHOOSE( CONTROL!$C$32, 6.0063, 6.0009) * CHOOSE( CONTROL!$C$15, $D$11, 100%, $F$11)</f>
        <v>6.0063000000000004</v>
      </c>
      <c r="H107" s="4">
        <f>CHOOSE( CONTROL!$C$32, 6.9506, 6.9452) * CHOOSE(CONTROL!$C$15, $D$11, 100%, $F$11)</f>
        <v>6.9505999999999997</v>
      </c>
      <c r="I107" s="8">
        <f>CHOOSE( CONTROL!$C$32, 6.0055, 6.0001) * CHOOSE(CONTROL!$C$15, $D$11, 100%, $F$11)</f>
        <v>6.0054999999999996</v>
      </c>
      <c r="J107" s="4">
        <f>CHOOSE( CONTROL!$C$32, 5.8885, 5.8832) * CHOOSE(CONTROL!$C$15, $D$11, 100%, $F$11)</f>
        <v>5.8884999999999996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1.2183999999999999</v>
      </c>
      <c r="Q107" s="9">
        <v>32.8123</v>
      </c>
      <c r="R107" s="9"/>
      <c r="S107" s="11"/>
    </row>
    <row r="108" spans="1:19" ht="15.75">
      <c r="A108" s="13">
        <v>44774</v>
      </c>
      <c r="B108" s="8">
        <f>CHOOSE( CONTROL!$C$32, 5.6907, 5.6851) * CHOOSE(CONTROL!$C$15, $D$11, 100%, $F$11)</f>
        <v>5.6906999999999996</v>
      </c>
      <c r="C108" s="8">
        <f>CHOOSE( CONTROL!$C$32, 5.6987, 5.6932) * CHOOSE(CONTROL!$C$15, $D$11, 100%, $F$11)</f>
        <v>5.6986999999999997</v>
      </c>
      <c r="D108" s="8">
        <f>CHOOSE( CONTROL!$C$32, 5.7251, 5.7196) * CHOOSE( CONTROL!$C$15, $D$11, 100%, $F$11)</f>
        <v>5.7251000000000003</v>
      </c>
      <c r="E108" s="12">
        <f>CHOOSE( CONTROL!$C$32, 5.7143, 5.7088) * CHOOSE( CONTROL!$C$15, $D$11, 100%, $F$11)</f>
        <v>5.7142999999999997</v>
      </c>
      <c r="F108" s="4">
        <f>CHOOSE( CONTROL!$C$32, 6.403, 6.3975) * CHOOSE(CONTROL!$C$15, $D$11, 100%, $F$11)</f>
        <v>6.4029999999999996</v>
      </c>
      <c r="G108" s="8">
        <f>CHOOSE( CONTROL!$C$32, 5.5444, 5.539) * CHOOSE( CONTROL!$C$15, $D$11, 100%, $F$11)</f>
        <v>5.5444000000000004</v>
      </c>
      <c r="H108" s="4">
        <f>CHOOSE( CONTROL!$C$32, 6.4886, 6.4832) * CHOOSE(CONTROL!$C$15, $D$11, 100%, $F$11)</f>
        <v>6.4885999999999999</v>
      </c>
      <c r="I108" s="8">
        <f>CHOOSE( CONTROL!$C$32, 5.5514, 5.5461) * CHOOSE(CONTROL!$C$15, $D$11, 100%, $F$11)</f>
        <v>5.5514000000000001</v>
      </c>
      <c r="J108" s="4">
        <f>CHOOSE( CONTROL!$C$32, 5.4344, 5.429) * CHOOSE(CONTROL!$C$15, $D$11, 100%, $F$11)</f>
        <v>5.4344000000000001</v>
      </c>
      <c r="K108" s="4"/>
      <c r="L108" s="9">
        <v>30.7165</v>
      </c>
      <c r="M108" s="9">
        <v>12.063700000000001</v>
      </c>
      <c r="N108" s="9">
        <v>4.9444999999999997</v>
      </c>
      <c r="O108" s="9">
        <v>0.37409999999999999</v>
      </c>
      <c r="P108" s="9">
        <v>1.2183999999999999</v>
      </c>
      <c r="Q108" s="9">
        <v>32.8123</v>
      </c>
      <c r="R108" s="9"/>
      <c r="S108" s="11"/>
    </row>
    <row r="109" spans="1:19" ht="15.75">
      <c r="A109" s="13">
        <v>44805</v>
      </c>
      <c r="B109" s="8">
        <f>CHOOSE( CONTROL!$C$32, 5.5722, 5.5666) * CHOOSE(CONTROL!$C$15, $D$11, 100%, $F$11)</f>
        <v>5.5721999999999996</v>
      </c>
      <c r="C109" s="8">
        <f>CHOOSE( CONTROL!$C$32, 5.5803, 5.5747) * CHOOSE(CONTROL!$C$15, $D$11, 100%, $F$11)</f>
        <v>5.5803000000000003</v>
      </c>
      <c r="D109" s="8">
        <f>CHOOSE( CONTROL!$C$32, 5.6066, 5.6011) * CHOOSE( CONTROL!$C$15, $D$11, 100%, $F$11)</f>
        <v>5.6066000000000003</v>
      </c>
      <c r="E109" s="12">
        <f>CHOOSE( CONTROL!$C$32, 5.5958, 5.5903) * CHOOSE( CONTROL!$C$15, $D$11, 100%, $F$11)</f>
        <v>5.5957999999999997</v>
      </c>
      <c r="F109" s="4">
        <f>CHOOSE( CONTROL!$C$32, 6.2846, 6.279) * CHOOSE(CONTROL!$C$15, $D$11, 100%, $F$11)</f>
        <v>6.2846000000000002</v>
      </c>
      <c r="G109" s="8">
        <f>CHOOSE( CONTROL!$C$32, 5.4287, 5.4232) * CHOOSE( CONTROL!$C$15, $D$11, 100%, $F$11)</f>
        <v>5.4287000000000001</v>
      </c>
      <c r="H109" s="4">
        <f>CHOOSE( CONTROL!$C$32, 6.373, 6.3675) * CHOOSE(CONTROL!$C$15, $D$11, 100%, $F$11)</f>
        <v>6.3730000000000002</v>
      </c>
      <c r="I109" s="8">
        <f>CHOOSE( CONTROL!$C$32, 5.4374, 5.432) * CHOOSE(CONTROL!$C$15, $D$11, 100%, $F$11)</f>
        <v>5.4374000000000002</v>
      </c>
      <c r="J109" s="4">
        <f>CHOOSE( CONTROL!$C$32, 5.3207, 5.3153) * CHOOSE(CONTROL!$C$15, $D$11, 100%, $F$11)</f>
        <v>5.3207000000000004</v>
      </c>
      <c r="K109" s="4"/>
      <c r="L109" s="9">
        <v>29.7257</v>
      </c>
      <c r="M109" s="9">
        <v>11.6745</v>
      </c>
      <c r="N109" s="9">
        <v>4.7850000000000001</v>
      </c>
      <c r="O109" s="9">
        <v>0.36199999999999999</v>
      </c>
      <c r="P109" s="9">
        <v>1.1791</v>
      </c>
      <c r="Q109" s="9">
        <v>31.753799999999998</v>
      </c>
      <c r="R109" s="9"/>
      <c r="S109" s="11"/>
    </row>
    <row r="110" spans="1:19" ht="15.75">
      <c r="A110" s="13">
        <v>44835</v>
      </c>
      <c r="B110" s="8">
        <f>5.8109 * CHOOSE(CONTROL!$C$15, $D$11, 100%, $F$11)</f>
        <v>5.8109000000000002</v>
      </c>
      <c r="C110" s="8">
        <f>5.8163 * CHOOSE(CONTROL!$C$15, $D$11, 100%, $F$11)</f>
        <v>5.8163</v>
      </c>
      <c r="D110" s="8">
        <f>5.8475 * CHOOSE( CONTROL!$C$15, $D$11, 100%, $F$11)</f>
        <v>5.8475000000000001</v>
      </c>
      <c r="E110" s="12">
        <f>5.8366 * CHOOSE( CONTROL!$C$15, $D$11, 100%, $F$11)</f>
        <v>5.8365999999999998</v>
      </c>
      <c r="F110" s="4">
        <f>6.525 * CHOOSE(CONTROL!$C$15, $D$11, 100%, $F$11)</f>
        <v>6.5250000000000004</v>
      </c>
      <c r="G110" s="8">
        <f>5.6626 * CHOOSE( CONTROL!$C$15, $D$11, 100%, $F$11)</f>
        <v>5.6626000000000003</v>
      </c>
      <c r="H110" s="4">
        <f>6.6077 * CHOOSE(CONTROL!$C$15, $D$11, 100%, $F$11)</f>
        <v>6.6077000000000004</v>
      </c>
      <c r="I110" s="8">
        <f>5.6692 * CHOOSE(CONTROL!$C$15, $D$11, 100%, $F$11)</f>
        <v>5.6692</v>
      </c>
      <c r="J110" s="4">
        <f>5.5514 * CHOOSE(CONTROL!$C$15, $D$11, 100%, $F$11)</f>
        <v>5.5514000000000001</v>
      </c>
      <c r="K110" s="4"/>
      <c r="L110" s="9">
        <v>31.095300000000002</v>
      </c>
      <c r="M110" s="9">
        <v>12.063700000000001</v>
      </c>
      <c r="N110" s="9">
        <v>4.9444999999999997</v>
      </c>
      <c r="O110" s="9">
        <v>0.37409999999999999</v>
      </c>
      <c r="P110" s="9">
        <v>1.2183999999999999</v>
      </c>
      <c r="Q110" s="9">
        <v>32.8123</v>
      </c>
      <c r="R110" s="9"/>
      <c r="S110" s="11"/>
    </row>
    <row r="111" spans="1:19" ht="15.75">
      <c r="A111" s="13">
        <v>44866</v>
      </c>
      <c r="B111" s="8">
        <f>6.2644 * CHOOSE(CONTROL!$C$15, $D$11, 100%, $F$11)</f>
        <v>6.2644000000000002</v>
      </c>
      <c r="C111" s="8">
        <f>6.2696 * CHOOSE(CONTROL!$C$15, $D$11, 100%, $F$11)</f>
        <v>6.2695999999999996</v>
      </c>
      <c r="D111" s="8">
        <f>6.2558 * CHOOSE( CONTROL!$C$15, $D$11, 100%, $F$11)</f>
        <v>6.2557999999999998</v>
      </c>
      <c r="E111" s="12">
        <f>6.2603 * CHOOSE( CONTROL!$C$15, $D$11, 100%, $F$11)</f>
        <v>6.2603</v>
      </c>
      <c r="F111" s="4">
        <f>6.9149 * CHOOSE(CONTROL!$C$15, $D$11, 100%, $F$11)</f>
        <v>6.9149000000000003</v>
      </c>
      <c r="G111" s="8">
        <f>6.1135 * CHOOSE( CONTROL!$C$15, $D$11, 100%, $F$11)</f>
        <v>6.1135000000000002</v>
      </c>
      <c r="H111" s="4">
        <f>6.9885 * CHOOSE(CONTROL!$C$15, $D$11, 100%, $F$11)</f>
        <v>6.9885000000000002</v>
      </c>
      <c r="I111" s="8">
        <f>6.1488 * CHOOSE(CONTROL!$C$15, $D$11, 100%, $F$11)</f>
        <v>6.1487999999999996</v>
      </c>
      <c r="J111" s="4">
        <f>5.9873 * CHOOSE(CONTROL!$C$15, $D$11, 100%, $F$11)</f>
        <v>5.9873000000000003</v>
      </c>
      <c r="K111" s="4"/>
      <c r="L111" s="9">
        <v>28.360600000000002</v>
      </c>
      <c r="M111" s="9">
        <v>11.6745</v>
      </c>
      <c r="N111" s="9">
        <v>4.7850000000000001</v>
      </c>
      <c r="O111" s="9">
        <v>0.36199999999999999</v>
      </c>
      <c r="P111" s="9">
        <v>1.2509999999999999</v>
      </c>
      <c r="Q111" s="9">
        <v>31.753799999999998</v>
      </c>
      <c r="R111" s="9"/>
      <c r="S111" s="11"/>
    </row>
    <row r="112" spans="1:19" ht="15.75">
      <c r="A112" s="13">
        <v>44896</v>
      </c>
      <c r="B112" s="8">
        <f>6.2531 * CHOOSE(CONTROL!$C$15, $D$11, 100%, $F$11)</f>
        <v>6.2530999999999999</v>
      </c>
      <c r="C112" s="8">
        <f>6.2582 * CHOOSE(CONTROL!$C$15, $D$11, 100%, $F$11)</f>
        <v>6.2582000000000004</v>
      </c>
      <c r="D112" s="8">
        <f>6.246 * CHOOSE( CONTROL!$C$15, $D$11, 100%, $F$11)</f>
        <v>6.2460000000000004</v>
      </c>
      <c r="E112" s="12">
        <f>6.2499 * CHOOSE( CONTROL!$C$15, $D$11, 100%, $F$11)</f>
        <v>6.2499000000000002</v>
      </c>
      <c r="F112" s="4">
        <f>6.9035 * CHOOSE(CONTROL!$C$15, $D$11, 100%, $F$11)</f>
        <v>6.9035000000000002</v>
      </c>
      <c r="G112" s="8">
        <f>6.1035 * CHOOSE( CONTROL!$C$15, $D$11, 100%, $F$11)</f>
        <v>6.1035000000000004</v>
      </c>
      <c r="H112" s="4">
        <f>6.9775 * CHOOSE(CONTROL!$C$15, $D$11, 100%, $F$11)</f>
        <v>6.9775</v>
      </c>
      <c r="I112" s="8">
        <f>6.1427 * CHOOSE(CONTROL!$C$15, $D$11, 100%, $F$11)</f>
        <v>6.1426999999999996</v>
      </c>
      <c r="J112" s="4">
        <f>5.9764 * CHOOSE(CONTROL!$C$15, $D$11, 100%, $F$11)</f>
        <v>5.9763999999999999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32.8123</v>
      </c>
      <c r="R112" s="9"/>
      <c r="S112" s="11"/>
    </row>
    <row r="113" spans="1:19" ht="15.75">
      <c r="A113" s="13">
        <v>44927</v>
      </c>
      <c r="B113" s="8">
        <f>6.5473 * CHOOSE(CONTROL!$C$15, $D$11, 100%, $F$11)</f>
        <v>6.5472999999999999</v>
      </c>
      <c r="C113" s="8">
        <f>6.5525 * CHOOSE(CONTROL!$C$15, $D$11, 100%, $F$11)</f>
        <v>6.5525000000000002</v>
      </c>
      <c r="D113" s="8">
        <f>6.5349 * CHOOSE( CONTROL!$C$15, $D$11, 100%, $F$11)</f>
        <v>6.5349000000000004</v>
      </c>
      <c r="E113" s="12">
        <f>6.5408 * CHOOSE( CONTROL!$C$15, $D$11, 100%, $F$11)</f>
        <v>6.5407999999999999</v>
      </c>
      <c r="F113" s="4">
        <f>7.1977 * CHOOSE(CONTROL!$C$15, $D$11, 100%, $F$11)</f>
        <v>7.1977000000000002</v>
      </c>
      <c r="G113" s="8">
        <f>6.3809 * CHOOSE( CONTROL!$C$15, $D$11, 100%, $F$11)</f>
        <v>6.3808999999999996</v>
      </c>
      <c r="H113" s="4">
        <f>7.2648 * CHOOSE(CONTROL!$C$15, $D$11, 100%, $F$11)</f>
        <v>7.2648000000000001</v>
      </c>
      <c r="I113" s="8">
        <f>6.3852 * CHOOSE(CONTROL!$C$15, $D$11, 100%, $F$11)</f>
        <v>6.3852000000000002</v>
      </c>
      <c r="J113" s="4">
        <f>6.2589 * CHOOSE(CONTROL!$C$15, $D$11, 100%, $F$11)</f>
        <v>6.2588999999999997</v>
      </c>
      <c r="K113" s="4"/>
      <c r="L113" s="9">
        <v>29.306000000000001</v>
      </c>
      <c r="M113" s="9">
        <v>12.063700000000001</v>
      </c>
      <c r="N113" s="9">
        <v>4.9444999999999997</v>
      </c>
      <c r="O113" s="9">
        <v>0.37409999999999999</v>
      </c>
      <c r="P113" s="9">
        <v>1.2927</v>
      </c>
      <c r="Q113" s="9">
        <v>32.624400000000001</v>
      </c>
      <c r="R113" s="9"/>
      <c r="S113" s="11"/>
    </row>
    <row r="114" spans="1:19" ht="15.75">
      <c r="A114" s="13">
        <v>44958</v>
      </c>
      <c r="B114" s="8">
        <f>6.1258 * CHOOSE(CONTROL!$C$15, $D$11, 100%, $F$11)</f>
        <v>6.1257999999999999</v>
      </c>
      <c r="C114" s="8">
        <f>6.131 * CHOOSE(CONTROL!$C$15, $D$11, 100%, $F$11)</f>
        <v>6.1310000000000002</v>
      </c>
      <c r="D114" s="8">
        <f>6.1134 * CHOOSE( CONTROL!$C$15, $D$11, 100%, $F$11)</f>
        <v>6.1134000000000004</v>
      </c>
      <c r="E114" s="12">
        <f>6.1193 * CHOOSE( CONTROL!$C$15, $D$11, 100%, $F$11)</f>
        <v>6.1193</v>
      </c>
      <c r="F114" s="4">
        <f>6.7763 * CHOOSE(CONTROL!$C$15, $D$11, 100%, $F$11)</f>
        <v>6.7763</v>
      </c>
      <c r="G114" s="8">
        <f>5.9692 * CHOOSE( CONTROL!$C$15, $D$11, 100%, $F$11)</f>
        <v>5.9691999999999998</v>
      </c>
      <c r="H114" s="4">
        <f>6.8532 * CHOOSE(CONTROL!$C$15, $D$11, 100%, $F$11)</f>
        <v>6.8532000000000002</v>
      </c>
      <c r="I114" s="8">
        <f>5.9802 * CHOOSE(CONTROL!$C$15, $D$11, 100%, $F$11)</f>
        <v>5.9802</v>
      </c>
      <c r="J114" s="4">
        <f>5.8542 * CHOOSE(CONTROL!$C$15, $D$11, 100%, $F$11)</f>
        <v>5.8541999999999996</v>
      </c>
      <c r="K114" s="4"/>
      <c r="L114" s="9">
        <v>26.469899999999999</v>
      </c>
      <c r="M114" s="9">
        <v>10.8962</v>
      </c>
      <c r="N114" s="9">
        <v>4.4660000000000002</v>
      </c>
      <c r="O114" s="9">
        <v>0.33789999999999998</v>
      </c>
      <c r="P114" s="9">
        <v>1.1676</v>
      </c>
      <c r="Q114" s="9">
        <v>29.467199999999998</v>
      </c>
      <c r="R114" s="9"/>
      <c r="S114" s="11"/>
    </row>
    <row r="115" spans="1:19" ht="15.75">
      <c r="A115" s="13">
        <v>44986</v>
      </c>
      <c r="B115" s="8">
        <f>5.996 * CHOOSE(CONTROL!$C$15, $D$11, 100%, $F$11)</f>
        <v>5.9960000000000004</v>
      </c>
      <c r="C115" s="8">
        <f>6.0012 * CHOOSE(CONTROL!$C$15, $D$11, 100%, $F$11)</f>
        <v>6.0011999999999999</v>
      </c>
      <c r="D115" s="8">
        <f>5.9832 * CHOOSE( CONTROL!$C$15, $D$11, 100%, $F$11)</f>
        <v>5.9832000000000001</v>
      </c>
      <c r="E115" s="12">
        <f>5.9892 * CHOOSE( CONTROL!$C$15, $D$11, 100%, $F$11)</f>
        <v>5.9892000000000003</v>
      </c>
      <c r="F115" s="4">
        <f>6.6465 * CHOOSE(CONTROL!$C$15, $D$11, 100%, $F$11)</f>
        <v>6.6464999999999996</v>
      </c>
      <c r="G115" s="8">
        <f>5.8422 * CHOOSE( CONTROL!$C$15, $D$11, 100%, $F$11)</f>
        <v>5.8422000000000001</v>
      </c>
      <c r="H115" s="4">
        <f>6.7264 * CHOOSE(CONTROL!$C$15, $D$11, 100%, $F$11)</f>
        <v>6.7263999999999999</v>
      </c>
      <c r="I115" s="8">
        <f>5.8543 * CHOOSE(CONTROL!$C$15, $D$11, 100%, $F$11)</f>
        <v>5.8543000000000003</v>
      </c>
      <c r="J115" s="4">
        <f>5.7296 * CHOOSE(CONTROL!$C$15, $D$11, 100%, $F$11)</f>
        <v>5.7295999999999996</v>
      </c>
      <c r="K115" s="4"/>
      <c r="L115" s="9">
        <v>29.306000000000001</v>
      </c>
      <c r="M115" s="9">
        <v>12.063700000000001</v>
      </c>
      <c r="N115" s="9">
        <v>4.9444999999999997</v>
      </c>
      <c r="O115" s="9">
        <v>0.37409999999999999</v>
      </c>
      <c r="P115" s="9">
        <v>1.2927</v>
      </c>
      <c r="Q115" s="9">
        <v>32.624400000000001</v>
      </c>
      <c r="R115" s="9"/>
      <c r="S115" s="11"/>
    </row>
    <row r="116" spans="1:19" ht="15.75">
      <c r="A116" s="13">
        <v>45017</v>
      </c>
      <c r="B116" s="8">
        <f>6.0875 * CHOOSE(CONTROL!$C$15, $D$11, 100%, $F$11)</f>
        <v>6.0875000000000004</v>
      </c>
      <c r="C116" s="8">
        <f>6.0921 * CHOOSE(CONTROL!$C$15, $D$11, 100%, $F$11)</f>
        <v>6.0921000000000003</v>
      </c>
      <c r="D116" s="8">
        <f>6.1232 * CHOOSE( CONTROL!$C$15, $D$11, 100%, $F$11)</f>
        <v>6.1231999999999998</v>
      </c>
      <c r="E116" s="12">
        <f>6.1124 * CHOOSE( CONTROL!$C$15, $D$11, 100%, $F$11)</f>
        <v>6.1124000000000001</v>
      </c>
      <c r="F116" s="4">
        <f>6.8013 * CHOOSE(CONTROL!$C$15, $D$11, 100%, $F$11)</f>
        <v>6.8013000000000003</v>
      </c>
      <c r="G116" s="8">
        <f>5.9316 * CHOOSE( CONTROL!$C$15, $D$11, 100%, $F$11)</f>
        <v>5.9316000000000004</v>
      </c>
      <c r="H116" s="4">
        <f>6.8776 * CHOOSE(CONTROL!$C$15, $D$11, 100%, $F$11)</f>
        <v>6.8776000000000002</v>
      </c>
      <c r="I116" s="8">
        <f>5.9319 * CHOOSE(CONTROL!$C$15, $D$11, 100%, $F$11)</f>
        <v>5.9318999999999997</v>
      </c>
      <c r="J116" s="4">
        <f>5.8167 * CHOOSE(CONTROL!$C$15, $D$11, 100%, $F$11)</f>
        <v>5.8167</v>
      </c>
      <c r="K116" s="4"/>
      <c r="L116" s="9">
        <v>30.092199999999998</v>
      </c>
      <c r="M116" s="9">
        <v>11.6745</v>
      </c>
      <c r="N116" s="9">
        <v>4.7850000000000001</v>
      </c>
      <c r="O116" s="9">
        <v>0.36199999999999999</v>
      </c>
      <c r="P116" s="9">
        <v>1.1791</v>
      </c>
      <c r="Q116" s="9">
        <v>31.571999999999999</v>
      </c>
      <c r="R116" s="9"/>
      <c r="S116" s="11"/>
    </row>
    <row r="117" spans="1:19" ht="15.75">
      <c r="A117" s="13">
        <v>45047</v>
      </c>
      <c r="B117" s="8">
        <f>CHOOSE( CONTROL!$C$32, 6.2559, 6.2503) * CHOOSE(CONTROL!$C$15, $D$11, 100%, $F$11)</f>
        <v>6.2558999999999996</v>
      </c>
      <c r="C117" s="8">
        <f>CHOOSE( CONTROL!$C$32, 6.2639, 6.2584) * CHOOSE(CONTROL!$C$15, $D$11, 100%, $F$11)</f>
        <v>6.2638999999999996</v>
      </c>
      <c r="D117" s="8">
        <f>CHOOSE( CONTROL!$C$32, 6.2899, 6.2843) * CHOOSE( CONTROL!$C$15, $D$11, 100%, $F$11)</f>
        <v>6.2899000000000003</v>
      </c>
      <c r="E117" s="12">
        <f>CHOOSE( CONTROL!$C$32, 6.2793, 6.2737) * CHOOSE( CONTROL!$C$15, $D$11, 100%, $F$11)</f>
        <v>6.2793000000000001</v>
      </c>
      <c r="F117" s="4">
        <f>CHOOSE( CONTROL!$C$32, 6.9683, 6.9627) * CHOOSE(CONTROL!$C$15, $D$11, 100%, $F$11)</f>
        <v>6.9683000000000002</v>
      </c>
      <c r="G117" s="8">
        <f>CHOOSE( CONTROL!$C$32, 6.0958, 6.0904) * CHOOSE( CONTROL!$C$15, $D$11, 100%, $F$11)</f>
        <v>6.0957999999999997</v>
      </c>
      <c r="H117" s="4">
        <f>CHOOSE( CONTROL!$C$32, 7.0407, 7.0352) * CHOOSE(CONTROL!$C$15, $D$11, 100%, $F$11)</f>
        <v>7.0407000000000002</v>
      </c>
      <c r="I117" s="8">
        <f>CHOOSE( CONTROL!$C$32, 6.0923, 6.0869) * CHOOSE(CONTROL!$C$15, $D$11, 100%, $F$11)</f>
        <v>6.0922999999999998</v>
      </c>
      <c r="J117" s="4">
        <f>CHOOSE( CONTROL!$C$32, 5.977, 5.9717) * CHOOSE(CONTROL!$C$15, $D$11, 100%, $F$11)</f>
        <v>5.9770000000000003</v>
      </c>
      <c r="K117" s="4"/>
      <c r="L117" s="9">
        <v>30.7165</v>
      </c>
      <c r="M117" s="9">
        <v>12.063700000000001</v>
      </c>
      <c r="N117" s="9">
        <v>4.9444999999999997</v>
      </c>
      <c r="O117" s="9">
        <v>0.37409999999999999</v>
      </c>
      <c r="P117" s="9">
        <v>1.2183999999999999</v>
      </c>
      <c r="Q117" s="9">
        <v>32.624400000000001</v>
      </c>
      <c r="R117" s="9"/>
      <c r="S117" s="11"/>
    </row>
    <row r="118" spans="1:19" ht="15.75">
      <c r="A118" s="13">
        <v>45078</v>
      </c>
      <c r="B118" s="8">
        <f>CHOOSE( CONTROL!$C$32, 6.1559, 6.1503) * CHOOSE(CONTROL!$C$15, $D$11, 100%, $F$11)</f>
        <v>6.1558999999999999</v>
      </c>
      <c r="C118" s="8">
        <f>CHOOSE( CONTROL!$C$32, 6.1639, 6.1584) * CHOOSE(CONTROL!$C$15, $D$11, 100%, $F$11)</f>
        <v>6.1638999999999999</v>
      </c>
      <c r="D118" s="8">
        <f>CHOOSE( CONTROL!$C$32, 6.1901, 6.1845) * CHOOSE( CONTROL!$C$15, $D$11, 100%, $F$11)</f>
        <v>6.1901000000000002</v>
      </c>
      <c r="E118" s="12">
        <f>CHOOSE( CONTROL!$C$32, 6.1794, 6.1738) * CHOOSE( CONTROL!$C$15, $D$11, 100%, $F$11)</f>
        <v>6.1794000000000002</v>
      </c>
      <c r="F118" s="4">
        <f>CHOOSE( CONTROL!$C$32, 6.8683, 6.8627) * CHOOSE(CONTROL!$C$15, $D$11, 100%, $F$11)</f>
        <v>6.8682999999999996</v>
      </c>
      <c r="G118" s="8">
        <f>CHOOSE( CONTROL!$C$32, 5.9984, 5.993) * CHOOSE( CONTROL!$C$15, $D$11, 100%, $F$11)</f>
        <v>5.9984000000000002</v>
      </c>
      <c r="H118" s="4">
        <f>CHOOSE( CONTROL!$C$32, 6.943, 6.9376) * CHOOSE(CONTROL!$C$15, $D$11, 100%, $F$11)</f>
        <v>6.9429999999999996</v>
      </c>
      <c r="I118" s="8">
        <f>CHOOSE( CONTROL!$C$32, 5.997, 5.9917) * CHOOSE(CONTROL!$C$15, $D$11, 100%, $F$11)</f>
        <v>5.9969999999999999</v>
      </c>
      <c r="J118" s="4">
        <f>CHOOSE( CONTROL!$C$32, 5.881, 5.8757) * CHOOSE(CONTROL!$C$15, $D$11, 100%, $F$11)</f>
        <v>5.8810000000000002</v>
      </c>
      <c r="K118" s="4"/>
      <c r="L118" s="9">
        <v>29.7257</v>
      </c>
      <c r="M118" s="9">
        <v>11.6745</v>
      </c>
      <c r="N118" s="9">
        <v>4.7850000000000001</v>
      </c>
      <c r="O118" s="9">
        <v>0.36199999999999999</v>
      </c>
      <c r="P118" s="9">
        <v>1.1791</v>
      </c>
      <c r="Q118" s="9">
        <v>31.571999999999999</v>
      </c>
      <c r="R118" s="9"/>
      <c r="S118" s="11"/>
    </row>
    <row r="119" spans="1:19" ht="15.75">
      <c r="A119" s="13">
        <v>45108</v>
      </c>
      <c r="B119" s="8">
        <f>CHOOSE( CONTROL!$C$32, 6.4192, 6.4136) * CHOOSE(CONTROL!$C$15, $D$11, 100%, $F$11)</f>
        <v>6.4192</v>
      </c>
      <c r="C119" s="8">
        <f>CHOOSE( CONTROL!$C$32, 6.4273, 6.4217) * CHOOSE(CONTROL!$C$15, $D$11, 100%, $F$11)</f>
        <v>6.4272999999999998</v>
      </c>
      <c r="D119" s="8">
        <f>CHOOSE( CONTROL!$C$32, 6.4536, 6.4481) * CHOOSE( CONTROL!$C$15, $D$11, 100%, $F$11)</f>
        <v>6.4535999999999998</v>
      </c>
      <c r="E119" s="12">
        <f>CHOOSE( CONTROL!$C$32, 6.4428, 6.4373) * CHOOSE( CONTROL!$C$15, $D$11, 100%, $F$11)</f>
        <v>6.4428000000000001</v>
      </c>
      <c r="F119" s="4">
        <f>CHOOSE( CONTROL!$C$32, 7.1316, 7.126) * CHOOSE(CONTROL!$C$15, $D$11, 100%, $F$11)</f>
        <v>7.1315999999999997</v>
      </c>
      <c r="G119" s="8">
        <f>CHOOSE( CONTROL!$C$32, 6.2559, 6.2505) * CHOOSE( CONTROL!$C$15, $D$11, 100%, $F$11)</f>
        <v>6.2558999999999996</v>
      </c>
      <c r="H119" s="4">
        <f>CHOOSE( CONTROL!$C$32, 7.2002, 7.1948) * CHOOSE(CONTROL!$C$15, $D$11, 100%, $F$11)</f>
        <v>7.2001999999999997</v>
      </c>
      <c r="I119" s="8">
        <f>CHOOSE( CONTROL!$C$32, 6.2509, 6.2456) * CHOOSE(CONTROL!$C$15, $D$11, 100%, $F$11)</f>
        <v>6.2508999999999997</v>
      </c>
      <c r="J119" s="4">
        <f>CHOOSE( CONTROL!$C$32, 6.1339, 6.1285) * CHOOSE(CONTROL!$C$15, $D$11, 100%, $F$11)</f>
        <v>6.1338999999999997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1.2183999999999999</v>
      </c>
      <c r="Q119" s="9">
        <v>32.624400000000001</v>
      </c>
      <c r="R119" s="9"/>
      <c r="S119" s="11"/>
    </row>
    <row r="120" spans="1:19" ht="15.75">
      <c r="A120" s="13">
        <v>45139</v>
      </c>
      <c r="B120" s="8">
        <f>CHOOSE( CONTROL!$C$32, 5.9265, 5.9209) * CHOOSE(CONTROL!$C$15, $D$11, 100%, $F$11)</f>
        <v>5.9264999999999999</v>
      </c>
      <c r="C120" s="8">
        <f>CHOOSE( CONTROL!$C$32, 5.9346, 5.929) * CHOOSE(CONTROL!$C$15, $D$11, 100%, $F$11)</f>
        <v>5.9345999999999997</v>
      </c>
      <c r="D120" s="8">
        <f>CHOOSE( CONTROL!$C$32, 5.9609, 5.9554) * CHOOSE( CONTROL!$C$15, $D$11, 100%, $F$11)</f>
        <v>5.9608999999999996</v>
      </c>
      <c r="E120" s="12">
        <f>CHOOSE( CONTROL!$C$32, 5.9501, 5.9446) * CHOOSE( CONTROL!$C$15, $D$11, 100%, $F$11)</f>
        <v>5.9500999999999999</v>
      </c>
      <c r="F120" s="4">
        <f>CHOOSE( CONTROL!$C$32, 6.6389, 6.6333) * CHOOSE(CONTROL!$C$15, $D$11, 100%, $F$11)</f>
        <v>6.6388999999999996</v>
      </c>
      <c r="G120" s="8">
        <f>CHOOSE( CONTROL!$C$32, 5.7747, 5.7693) * CHOOSE( CONTROL!$C$15, $D$11, 100%, $F$11)</f>
        <v>5.7747000000000002</v>
      </c>
      <c r="H120" s="4">
        <f>CHOOSE( CONTROL!$C$32, 6.719, 6.7135) * CHOOSE(CONTROL!$C$15, $D$11, 100%, $F$11)</f>
        <v>6.7190000000000003</v>
      </c>
      <c r="I120" s="8">
        <f>CHOOSE( CONTROL!$C$32, 5.7779, 5.7726) * CHOOSE(CONTROL!$C$15, $D$11, 100%, $F$11)</f>
        <v>5.7778999999999998</v>
      </c>
      <c r="J120" s="4">
        <f>CHOOSE( CONTROL!$C$32, 5.6608, 5.6554) * CHOOSE(CONTROL!$C$15, $D$11, 100%, $F$11)</f>
        <v>5.6608000000000001</v>
      </c>
      <c r="K120" s="4"/>
      <c r="L120" s="9">
        <v>30.7165</v>
      </c>
      <c r="M120" s="9">
        <v>12.063700000000001</v>
      </c>
      <c r="N120" s="9">
        <v>4.9444999999999997</v>
      </c>
      <c r="O120" s="9">
        <v>0.37409999999999999</v>
      </c>
      <c r="P120" s="9">
        <v>1.2183999999999999</v>
      </c>
      <c r="Q120" s="9">
        <v>32.624400000000001</v>
      </c>
      <c r="R120" s="9"/>
      <c r="S120" s="11"/>
    </row>
    <row r="121" spans="1:19" ht="15.75">
      <c r="A121" s="13">
        <v>45170</v>
      </c>
      <c r="B121" s="8">
        <f>CHOOSE( CONTROL!$C$32, 5.8031, 5.7975) * CHOOSE(CONTROL!$C$15, $D$11, 100%, $F$11)</f>
        <v>5.8030999999999997</v>
      </c>
      <c r="C121" s="8">
        <f>CHOOSE( CONTROL!$C$32, 5.8112, 5.8056) * CHOOSE(CONTROL!$C$15, $D$11, 100%, $F$11)</f>
        <v>5.8112000000000004</v>
      </c>
      <c r="D121" s="8">
        <f>CHOOSE( CONTROL!$C$32, 5.8375, 5.8319) * CHOOSE( CONTROL!$C$15, $D$11, 100%, $F$11)</f>
        <v>5.8375000000000004</v>
      </c>
      <c r="E121" s="12">
        <f>CHOOSE( CONTROL!$C$32, 5.8267, 5.8211) * CHOOSE( CONTROL!$C$15, $D$11, 100%, $F$11)</f>
        <v>5.8266999999999998</v>
      </c>
      <c r="F121" s="4">
        <f>CHOOSE( CONTROL!$C$32, 6.5155, 6.5099) * CHOOSE(CONTROL!$C$15, $D$11, 100%, $F$11)</f>
        <v>6.5155000000000003</v>
      </c>
      <c r="G121" s="8">
        <f>CHOOSE( CONTROL!$C$32, 5.6541, 5.6487) * CHOOSE( CONTROL!$C$15, $D$11, 100%, $F$11)</f>
        <v>5.6540999999999997</v>
      </c>
      <c r="H121" s="4">
        <f>CHOOSE( CONTROL!$C$32, 6.5984, 6.593) * CHOOSE(CONTROL!$C$15, $D$11, 100%, $F$11)</f>
        <v>6.5983999999999998</v>
      </c>
      <c r="I121" s="8">
        <f>CHOOSE( CONTROL!$C$32, 5.6592, 5.6538) * CHOOSE(CONTROL!$C$15, $D$11, 100%, $F$11)</f>
        <v>5.6592000000000002</v>
      </c>
      <c r="J121" s="4">
        <f>CHOOSE( CONTROL!$C$32, 5.5423, 5.537) * CHOOSE(CONTROL!$C$15, $D$11, 100%, $F$11)</f>
        <v>5.5423</v>
      </c>
      <c r="K121" s="4"/>
      <c r="L121" s="9">
        <v>29.7257</v>
      </c>
      <c r="M121" s="9">
        <v>11.6745</v>
      </c>
      <c r="N121" s="9">
        <v>4.7850000000000001</v>
      </c>
      <c r="O121" s="9">
        <v>0.36199999999999999</v>
      </c>
      <c r="P121" s="9">
        <v>1.1791</v>
      </c>
      <c r="Q121" s="9">
        <v>31.571999999999999</v>
      </c>
      <c r="R121" s="9"/>
      <c r="S121" s="11"/>
    </row>
    <row r="122" spans="1:19" ht="15.75">
      <c r="A122" s="13">
        <v>45200</v>
      </c>
      <c r="B122" s="8">
        <f>6.052 * CHOOSE(CONTROL!$C$15, $D$11, 100%, $F$11)</f>
        <v>6.0519999999999996</v>
      </c>
      <c r="C122" s="8">
        <f>6.0574 * CHOOSE(CONTROL!$C$15, $D$11, 100%, $F$11)</f>
        <v>6.0574000000000003</v>
      </c>
      <c r="D122" s="8">
        <f>6.0886 * CHOOSE( CONTROL!$C$15, $D$11, 100%, $F$11)</f>
        <v>6.0885999999999996</v>
      </c>
      <c r="E122" s="12">
        <f>6.0777 * CHOOSE( CONTROL!$C$15, $D$11, 100%, $F$11)</f>
        <v>6.0777000000000001</v>
      </c>
      <c r="F122" s="4">
        <f>6.7661 * CHOOSE(CONTROL!$C$15, $D$11, 100%, $F$11)</f>
        <v>6.7660999999999998</v>
      </c>
      <c r="G122" s="8">
        <f>5.8981 * CHOOSE( CONTROL!$C$15, $D$11, 100%, $F$11)</f>
        <v>5.8981000000000003</v>
      </c>
      <c r="H122" s="4">
        <f>6.8432 * CHOOSE(CONTROL!$C$15, $D$11, 100%, $F$11)</f>
        <v>6.8432000000000004</v>
      </c>
      <c r="I122" s="8">
        <f>5.9008 * CHOOSE(CONTROL!$C$15, $D$11, 100%, $F$11)</f>
        <v>5.9008000000000003</v>
      </c>
      <c r="J122" s="4">
        <f>5.7829 * CHOOSE(CONTROL!$C$15, $D$11, 100%, $F$11)</f>
        <v>5.7828999999999997</v>
      </c>
      <c r="K122" s="4"/>
      <c r="L122" s="9">
        <v>31.095300000000002</v>
      </c>
      <c r="M122" s="9">
        <v>12.063700000000001</v>
      </c>
      <c r="N122" s="9">
        <v>4.9444999999999997</v>
      </c>
      <c r="O122" s="9">
        <v>0.37409999999999999</v>
      </c>
      <c r="P122" s="9">
        <v>1.2183999999999999</v>
      </c>
      <c r="Q122" s="9">
        <v>32.624400000000001</v>
      </c>
      <c r="R122" s="9"/>
      <c r="S122" s="11"/>
    </row>
    <row r="123" spans="1:19" ht="15.75">
      <c r="A123" s="13">
        <v>45231</v>
      </c>
      <c r="B123" s="8">
        <f>6.5245 * CHOOSE(CONTROL!$C$15, $D$11, 100%, $F$11)</f>
        <v>6.5244999999999997</v>
      </c>
      <c r="C123" s="8">
        <f>6.5296 * CHOOSE(CONTROL!$C$15, $D$11, 100%, $F$11)</f>
        <v>6.5296000000000003</v>
      </c>
      <c r="D123" s="8">
        <f>6.5159 * CHOOSE( CONTROL!$C$15, $D$11, 100%, $F$11)</f>
        <v>6.5159000000000002</v>
      </c>
      <c r="E123" s="12">
        <f>6.5204 * CHOOSE( CONTROL!$C$15, $D$11, 100%, $F$11)</f>
        <v>6.5204000000000004</v>
      </c>
      <c r="F123" s="4">
        <f>7.1749 * CHOOSE(CONTROL!$C$15, $D$11, 100%, $F$11)</f>
        <v>7.1749000000000001</v>
      </c>
      <c r="G123" s="8">
        <f>6.3675 * CHOOSE( CONTROL!$C$15, $D$11, 100%, $F$11)</f>
        <v>6.3674999999999997</v>
      </c>
      <c r="H123" s="4">
        <f>7.2425 * CHOOSE(CONTROL!$C$15, $D$11, 100%, $F$11)</f>
        <v>7.2424999999999997</v>
      </c>
      <c r="I123" s="8">
        <f>6.3986 * CHOOSE(CONTROL!$C$15, $D$11, 100%, $F$11)</f>
        <v>6.3986000000000001</v>
      </c>
      <c r="J123" s="4">
        <f>6.2369 * CHOOSE(CONTROL!$C$15, $D$11, 100%, $F$11)</f>
        <v>6.2369000000000003</v>
      </c>
      <c r="K123" s="4"/>
      <c r="L123" s="9">
        <v>28.360600000000002</v>
      </c>
      <c r="M123" s="9">
        <v>11.6745</v>
      </c>
      <c r="N123" s="9">
        <v>4.7850000000000001</v>
      </c>
      <c r="O123" s="9">
        <v>0.36199999999999999</v>
      </c>
      <c r="P123" s="9">
        <v>1.2509999999999999</v>
      </c>
      <c r="Q123" s="9">
        <v>31.571999999999999</v>
      </c>
      <c r="R123" s="9"/>
      <c r="S123" s="11"/>
    </row>
    <row r="124" spans="1:19" ht="15.75">
      <c r="A124" s="13">
        <v>45261</v>
      </c>
      <c r="B124" s="8">
        <f>6.5126 * CHOOSE(CONTROL!$C$15, $D$11, 100%, $F$11)</f>
        <v>6.5125999999999999</v>
      </c>
      <c r="C124" s="8">
        <f>6.5178 * CHOOSE(CONTROL!$C$15, $D$11, 100%, $F$11)</f>
        <v>6.5178000000000003</v>
      </c>
      <c r="D124" s="8">
        <f>6.5055 * CHOOSE( CONTROL!$C$15, $D$11, 100%, $F$11)</f>
        <v>6.5054999999999996</v>
      </c>
      <c r="E124" s="12">
        <f>6.5094 * CHOOSE( CONTROL!$C$15, $D$11, 100%, $F$11)</f>
        <v>6.5094000000000003</v>
      </c>
      <c r="F124" s="4">
        <f>7.1631 * CHOOSE(CONTROL!$C$15, $D$11, 100%, $F$11)</f>
        <v>7.1631</v>
      </c>
      <c r="G124" s="8">
        <f>6.3571 * CHOOSE( CONTROL!$C$15, $D$11, 100%, $F$11)</f>
        <v>6.3571</v>
      </c>
      <c r="H124" s="4">
        <f>7.231 * CHOOSE(CONTROL!$C$15, $D$11, 100%, $F$11)</f>
        <v>7.2309999999999999</v>
      </c>
      <c r="I124" s="8">
        <f>6.392 * CHOOSE(CONTROL!$C$15, $D$11, 100%, $F$11)</f>
        <v>6.3920000000000003</v>
      </c>
      <c r="J124" s="4">
        <f>6.2256 * CHOOSE(CONTROL!$C$15, $D$11, 100%, $F$11)</f>
        <v>6.2256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32.624400000000001</v>
      </c>
      <c r="R124" s="9"/>
      <c r="S124" s="11"/>
    </row>
    <row r="125" spans="1:19" ht="15.75">
      <c r="A125" s="13">
        <v>45292</v>
      </c>
      <c r="B125" s="8">
        <f>6.7469 * CHOOSE(CONTROL!$C$15, $D$11, 100%, $F$11)</f>
        <v>6.7469000000000001</v>
      </c>
      <c r="C125" s="8">
        <f>6.7521 * CHOOSE(CONTROL!$C$15, $D$11, 100%, $F$11)</f>
        <v>6.7521000000000004</v>
      </c>
      <c r="D125" s="8">
        <f>6.7345 * CHOOSE( CONTROL!$C$15, $D$11, 100%, $F$11)</f>
        <v>6.7344999999999997</v>
      </c>
      <c r="E125" s="12">
        <f>6.7404 * CHOOSE( CONTROL!$C$15, $D$11, 100%, $F$11)</f>
        <v>6.7404000000000002</v>
      </c>
      <c r="F125" s="4">
        <f>7.3974 * CHOOSE(CONTROL!$C$15, $D$11, 100%, $F$11)</f>
        <v>7.3974000000000002</v>
      </c>
      <c r="G125" s="8">
        <f>6.5759 * CHOOSE( CONTROL!$C$15, $D$11, 100%, $F$11)</f>
        <v>6.5758999999999999</v>
      </c>
      <c r="H125" s="4">
        <f>7.4598 * CHOOSE(CONTROL!$C$15, $D$11, 100%, $F$11)</f>
        <v>7.4598000000000004</v>
      </c>
      <c r="I125" s="8">
        <f>6.5769 * CHOOSE(CONTROL!$C$15, $D$11, 100%, $F$11)</f>
        <v>6.5769000000000002</v>
      </c>
      <c r="J125" s="4">
        <f>6.4505 * CHOOSE(CONTROL!$C$15, $D$11, 100%, $F$11)</f>
        <v>6.4504999999999999</v>
      </c>
      <c r="K125" s="4"/>
      <c r="L125" s="9">
        <v>29.306000000000001</v>
      </c>
      <c r="M125" s="9">
        <v>12.063700000000001</v>
      </c>
      <c r="N125" s="9">
        <v>4.9444999999999997</v>
      </c>
      <c r="O125" s="9">
        <v>0.37409999999999999</v>
      </c>
      <c r="P125" s="9">
        <v>1.2927</v>
      </c>
      <c r="Q125" s="9">
        <v>32.440300000000001</v>
      </c>
      <c r="R125" s="9"/>
      <c r="S125" s="11"/>
    </row>
    <row r="126" spans="1:19" ht="15.75">
      <c r="A126" s="13">
        <v>45323</v>
      </c>
      <c r="B126" s="8">
        <f>6.3126 * CHOOSE(CONTROL!$C$15, $D$11, 100%, $F$11)</f>
        <v>6.3125999999999998</v>
      </c>
      <c r="C126" s="8">
        <f>6.3178 * CHOOSE(CONTROL!$C$15, $D$11, 100%, $F$11)</f>
        <v>6.3178000000000001</v>
      </c>
      <c r="D126" s="8">
        <f>6.3001 * CHOOSE( CONTROL!$C$15, $D$11, 100%, $F$11)</f>
        <v>6.3000999999999996</v>
      </c>
      <c r="E126" s="12">
        <f>6.306 * CHOOSE( CONTROL!$C$15, $D$11, 100%, $F$11)</f>
        <v>6.306</v>
      </c>
      <c r="F126" s="4">
        <f>6.963 * CHOOSE(CONTROL!$C$15, $D$11, 100%, $F$11)</f>
        <v>6.9630000000000001</v>
      </c>
      <c r="G126" s="8">
        <f>6.1516 * CHOOSE( CONTROL!$C$15, $D$11, 100%, $F$11)</f>
        <v>6.1516000000000002</v>
      </c>
      <c r="H126" s="4">
        <f>7.0356 * CHOOSE(CONTROL!$C$15, $D$11, 100%, $F$11)</f>
        <v>7.0355999999999996</v>
      </c>
      <c r="I126" s="8">
        <f>6.1595 * CHOOSE(CONTROL!$C$15, $D$11, 100%, $F$11)</f>
        <v>6.1595000000000004</v>
      </c>
      <c r="J126" s="4">
        <f>6.0335 * CHOOSE(CONTROL!$C$15, $D$11, 100%, $F$11)</f>
        <v>6.0335000000000001</v>
      </c>
      <c r="K126" s="4"/>
      <c r="L126" s="9">
        <v>27.415299999999998</v>
      </c>
      <c r="M126" s="9">
        <v>11.285299999999999</v>
      </c>
      <c r="N126" s="9">
        <v>4.6254999999999997</v>
      </c>
      <c r="O126" s="9">
        <v>0.34989999999999999</v>
      </c>
      <c r="P126" s="9">
        <v>1.2093</v>
      </c>
      <c r="Q126" s="9">
        <v>30.347300000000001</v>
      </c>
      <c r="R126" s="9"/>
      <c r="S126" s="11"/>
    </row>
    <row r="127" spans="1:19" ht="15.75">
      <c r="A127" s="13">
        <v>45352</v>
      </c>
      <c r="B127" s="8">
        <f>6.1788 * CHOOSE(CONTROL!$C$15, $D$11, 100%, $F$11)</f>
        <v>6.1787999999999998</v>
      </c>
      <c r="C127" s="8">
        <f>6.184 * CHOOSE(CONTROL!$C$15, $D$11, 100%, $F$11)</f>
        <v>6.1840000000000002</v>
      </c>
      <c r="D127" s="8">
        <f>6.166 * CHOOSE( CONTROL!$C$15, $D$11, 100%, $F$11)</f>
        <v>6.1660000000000004</v>
      </c>
      <c r="E127" s="12">
        <f>6.172 * CHOOSE( CONTROL!$C$15, $D$11, 100%, $F$11)</f>
        <v>6.1719999999999997</v>
      </c>
      <c r="F127" s="4">
        <f>6.8293 * CHOOSE(CONTROL!$C$15, $D$11, 100%, $F$11)</f>
        <v>6.8292999999999999</v>
      </c>
      <c r="G127" s="8">
        <f>6.0207 * CHOOSE( CONTROL!$C$15, $D$11, 100%, $F$11)</f>
        <v>6.0206999999999997</v>
      </c>
      <c r="H127" s="4">
        <f>6.9049 * CHOOSE(CONTROL!$C$15, $D$11, 100%, $F$11)</f>
        <v>6.9048999999999996</v>
      </c>
      <c r="I127" s="8">
        <f>6.0299 * CHOOSE(CONTROL!$C$15, $D$11, 100%, $F$11)</f>
        <v>6.0298999999999996</v>
      </c>
      <c r="J127" s="4">
        <f>5.9051 * CHOOSE(CONTROL!$C$15, $D$11, 100%, $F$11)</f>
        <v>5.9051</v>
      </c>
      <c r="K127" s="4"/>
      <c r="L127" s="9">
        <v>29.306000000000001</v>
      </c>
      <c r="M127" s="9">
        <v>12.063700000000001</v>
      </c>
      <c r="N127" s="9">
        <v>4.9444999999999997</v>
      </c>
      <c r="O127" s="9">
        <v>0.37409999999999999</v>
      </c>
      <c r="P127" s="9">
        <v>1.2927</v>
      </c>
      <c r="Q127" s="9">
        <v>32.440300000000001</v>
      </c>
      <c r="R127" s="9"/>
      <c r="S127" s="11"/>
    </row>
    <row r="128" spans="1:19" ht="15.75">
      <c r="A128" s="13">
        <v>45383</v>
      </c>
      <c r="B128" s="8">
        <f>6.273 * CHOOSE(CONTROL!$C$15, $D$11, 100%, $F$11)</f>
        <v>6.2729999999999997</v>
      </c>
      <c r="C128" s="8">
        <f>6.2777 * CHOOSE(CONTROL!$C$15, $D$11, 100%, $F$11)</f>
        <v>6.2777000000000003</v>
      </c>
      <c r="D128" s="8">
        <f>6.3088 * CHOOSE( CONTROL!$C$15, $D$11, 100%, $F$11)</f>
        <v>6.3087999999999997</v>
      </c>
      <c r="E128" s="12">
        <f>6.298 * CHOOSE( CONTROL!$C$15, $D$11, 100%, $F$11)</f>
        <v>6.298</v>
      </c>
      <c r="F128" s="4">
        <f>6.9868 * CHOOSE(CONTROL!$C$15, $D$11, 100%, $F$11)</f>
        <v>6.9867999999999997</v>
      </c>
      <c r="G128" s="8">
        <f>6.1128 * CHOOSE( CONTROL!$C$15, $D$11, 100%, $F$11)</f>
        <v>6.1128</v>
      </c>
      <c r="H128" s="4">
        <f>7.0588 * CHOOSE(CONTROL!$C$15, $D$11, 100%, $F$11)</f>
        <v>7.0587999999999997</v>
      </c>
      <c r="I128" s="8">
        <f>6.1102 * CHOOSE(CONTROL!$C$15, $D$11, 100%, $F$11)</f>
        <v>6.1101999999999999</v>
      </c>
      <c r="J128" s="4">
        <f>5.9948 * CHOOSE(CONTROL!$C$15, $D$11, 100%, $F$11)</f>
        <v>5.9947999999999997</v>
      </c>
      <c r="K128" s="4"/>
      <c r="L128" s="9">
        <v>30.092199999999998</v>
      </c>
      <c r="M128" s="9">
        <v>11.6745</v>
      </c>
      <c r="N128" s="9">
        <v>4.7850000000000001</v>
      </c>
      <c r="O128" s="9">
        <v>0.36199999999999999</v>
      </c>
      <c r="P128" s="9">
        <v>1.1791</v>
      </c>
      <c r="Q128" s="9">
        <v>31.393799999999999</v>
      </c>
      <c r="R128" s="9"/>
      <c r="S128" s="11"/>
    </row>
    <row r="129" spans="1:19" ht="15.75">
      <c r="A129" s="13">
        <v>45413</v>
      </c>
      <c r="B129" s="8">
        <f>CHOOSE( CONTROL!$C$32, 6.4463, 6.4408) * CHOOSE(CONTROL!$C$15, $D$11, 100%, $F$11)</f>
        <v>6.4462999999999999</v>
      </c>
      <c r="C129" s="8">
        <f>CHOOSE( CONTROL!$C$32, 6.4544, 6.4489) * CHOOSE(CONTROL!$C$15, $D$11, 100%, $F$11)</f>
        <v>6.4543999999999997</v>
      </c>
      <c r="D129" s="8">
        <f>CHOOSE( CONTROL!$C$32, 6.4804, 6.4748) * CHOOSE( CONTROL!$C$15, $D$11, 100%, $F$11)</f>
        <v>6.4804000000000004</v>
      </c>
      <c r="E129" s="12">
        <f>CHOOSE( CONTROL!$C$32, 6.4697, 6.4642) * CHOOSE( CONTROL!$C$15, $D$11, 100%, $F$11)</f>
        <v>6.4696999999999996</v>
      </c>
      <c r="F129" s="4">
        <f>CHOOSE( CONTROL!$C$32, 7.1587, 7.1532) * CHOOSE(CONTROL!$C$15, $D$11, 100%, $F$11)</f>
        <v>7.1586999999999996</v>
      </c>
      <c r="G129" s="8">
        <f>CHOOSE( CONTROL!$C$32, 6.2819, 6.2764) * CHOOSE( CONTROL!$C$15, $D$11, 100%, $F$11)</f>
        <v>6.2819000000000003</v>
      </c>
      <c r="H129" s="4">
        <f>CHOOSE( CONTROL!$C$32, 7.2267, 7.2213) * CHOOSE(CONTROL!$C$15, $D$11, 100%, $F$11)</f>
        <v>7.2267000000000001</v>
      </c>
      <c r="I129" s="8">
        <f>CHOOSE( CONTROL!$C$32, 6.2753, 6.2699) * CHOOSE(CONTROL!$C$15, $D$11, 100%, $F$11)</f>
        <v>6.2752999999999997</v>
      </c>
      <c r="J129" s="4">
        <f>CHOOSE( CONTROL!$C$32, 6.1599, 6.1546) * CHOOSE(CONTROL!$C$15, $D$11, 100%, $F$11)</f>
        <v>6.1599000000000004</v>
      </c>
      <c r="K129" s="4"/>
      <c r="L129" s="9">
        <v>30.7165</v>
      </c>
      <c r="M129" s="9">
        <v>12.063700000000001</v>
      </c>
      <c r="N129" s="9">
        <v>4.9444999999999997</v>
      </c>
      <c r="O129" s="9">
        <v>0.37409999999999999</v>
      </c>
      <c r="P129" s="9">
        <v>1.2183999999999999</v>
      </c>
      <c r="Q129" s="9">
        <v>32.440300000000001</v>
      </c>
      <c r="R129" s="9"/>
      <c r="S129" s="11"/>
    </row>
    <row r="130" spans="1:19" ht="15.75">
      <c r="A130" s="13">
        <v>45444</v>
      </c>
      <c r="B130" s="8">
        <f>CHOOSE( CONTROL!$C$32, 6.3433, 6.3377) * CHOOSE(CONTROL!$C$15, $D$11, 100%, $F$11)</f>
        <v>6.3433000000000002</v>
      </c>
      <c r="C130" s="8">
        <f>CHOOSE( CONTROL!$C$32, 6.3514, 6.3458) * CHOOSE(CONTROL!$C$15, $D$11, 100%, $F$11)</f>
        <v>6.3513999999999999</v>
      </c>
      <c r="D130" s="8">
        <f>CHOOSE( CONTROL!$C$32, 6.3775, 6.3719) * CHOOSE( CONTROL!$C$15, $D$11, 100%, $F$11)</f>
        <v>6.3775000000000004</v>
      </c>
      <c r="E130" s="12">
        <f>CHOOSE( CONTROL!$C$32, 6.3668, 6.3612) * CHOOSE( CONTROL!$C$15, $D$11, 100%, $F$11)</f>
        <v>6.3667999999999996</v>
      </c>
      <c r="F130" s="4">
        <f>CHOOSE( CONTROL!$C$32, 7.0557, 7.0501) * CHOOSE(CONTROL!$C$15, $D$11, 100%, $F$11)</f>
        <v>7.0556999999999999</v>
      </c>
      <c r="G130" s="8">
        <f>CHOOSE( CONTROL!$C$32, 6.1815, 6.176) * CHOOSE( CONTROL!$C$15, $D$11, 100%, $F$11)</f>
        <v>6.1814999999999998</v>
      </c>
      <c r="H130" s="4">
        <f>CHOOSE( CONTROL!$C$32, 7.1261, 7.1206) * CHOOSE(CONTROL!$C$15, $D$11, 100%, $F$11)</f>
        <v>7.1261000000000001</v>
      </c>
      <c r="I130" s="8">
        <f>CHOOSE( CONTROL!$C$32, 6.1771, 6.1717) * CHOOSE(CONTROL!$C$15, $D$11, 100%, $F$11)</f>
        <v>6.1771000000000003</v>
      </c>
      <c r="J130" s="4">
        <f>CHOOSE( CONTROL!$C$32, 6.061, 6.0556) * CHOOSE(CONTROL!$C$15, $D$11, 100%, $F$11)</f>
        <v>6.0609999999999999</v>
      </c>
      <c r="K130" s="4"/>
      <c r="L130" s="9">
        <v>29.7257</v>
      </c>
      <c r="M130" s="9">
        <v>11.6745</v>
      </c>
      <c r="N130" s="9">
        <v>4.7850000000000001</v>
      </c>
      <c r="O130" s="9">
        <v>0.36199999999999999</v>
      </c>
      <c r="P130" s="9">
        <v>1.1791</v>
      </c>
      <c r="Q130" s="9">
        <v>31.393799999999999</v>
      </c>
      <c r="R130" s="9"/>
      <c r="S130" s="11"/>
    </row>
    <row r="131" spans="1:19" ht="15.75">
      <c r="A131" s="13">
        <v>45474</v>
      </c>
      <c r="B131" s="8">
        <f>CHOOSE( CONTROL!$C$32, 6.6147, 6.6091) * CHOOSE(CONTROL!$C$15, $D$11, 100%, $F$11)</f>
        <v>6.6147</v>
      </c>
      <c r="C131" s="8">
        <f>CHOOSE( CONTROL!$C$32, 6.6228, 6.6172) * CHOOSE(CONTROL!$C$15, $D$11, 100%, $F$11)</f>
        <v>6.6227999999999998</v>
      </c>
      <c r="D131" s="8">
        <f>CHOOSE( CONTROL!$C$32, 6.6491, 6.6435) * CHOOSE( CONTROL!$C$15, $D$11, 100%, $F$11)</f>
        <v>6.6490999999999998</v>
      </c>
      <c r="E131" s="12">
        <f>CHOOSE( CONTROL!$C$32, 6.6383, 6.6327) * CHOOSE( CONTROL!$C$15, $D$11, 100%, $F$11)</f>
        <v>6.6383000000000001</v>
      </c>
      <c r="F131" s="4">
        <f>CHOOSE( CONTROL!$C$32, 7.3271, 7.3215) * CHOOSE(CONTROL!$C$15, $D$11, 100%, $F$11)</f>
        <v>7.3270999999999997</v>
      </c>
      <c r="G131" s="8">
        <f>CHOOSE( CONTROL!$C$32, 6.4468, 6.4414) * CHOOSE( CONTROL!$C$15, $D$11, 100%, $F$11)</f>
        <v>6.4467999999999996</v>
      </c>
      <c r="H131" s="4">
        <f>CHOOSE( CONTROL!$C$32, 7.3911, 7.3857) * CHOOSE(CONTROL!$C$15, $D$11, 100%, $F$11)</f>
        <v>7.3910999999999998</v>
      </c>
      <c r="I131" s="8">
        <f>CHOOSE( CONTROL!$C$32, 6.4387, 6.4334) * CHOOSE(CONTROL!$C$15, $D$11, 100%, $F$11)</f>
        <v>6.4386999999999999</v>
      </c>
      <c r="J131" s="4">
        <f>CHOOSE( CONTROL!$C$32, 6.3215, 6.3162) * CHOOSE(CONTROL!$C$15, $D$11, 100%, $F$11)</f>
        <v>6.3215000000000003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1.2183999999999999</v>
      </c>
      <c r="Q131" s="9">
        <v>32.440300000000001</v>
      </c>
      <c r="R131" s="9"/>
      <c r="S131" s="11"/>
    </row>
    <row r="132" spans="1:19" ht="15.75">
      <c r="A132" s="13">
        <v>45505</v>
      </c>
      <c r="B132" s="8">
        <f>CHOOSE( CONTROL!$C$32, 6.1069, 6.1013) * CHOOSE(CONTROL!$C$15, $D$11, 100%, $F$11)</f>
        <v>6.1069000000000004</v>
      </c>
      <c r="C132" s="8">
        <f>CHOOSE( CONTROL!$C$32, 6.1149, 6.1094) * CHOOSE(CONTROL!$C$15, $D$11, 100%, $F$11)</f>
        <v>6.1148999999999996</v>
      </c>
      <c r="D132" s="8">
        <f>CHOOSE( CONTROL!$C$32, 6.1413, 6.1358) * CHOOSE( CONTROL!$C$15, $D$11, 100%, $F$11)</f>
        <v>6.1413000000000002</v>
      </c>
      <c r="E132" s="12">
        <f>CHOOSE( CONTROL!$C$32, 6.1305, 6.125) * CHOOSE( CONTROL!$C$15, $D$11, 100%, $F$11)</f>
        <v>6.1304999999999996</v>
      </c>
      <c r="F132" s="4">
        <f>CHOOSE( CONTROL!$C$32, 6.8193, 6.8137) * CHOOSE(CONTROL!$C$15, $D$11, 100%, $F$11)</f>
        <v>6.8193000000000001</v>
      </c>
      <c r="G132" s="8">
        <f>CHOOSE( CONTROL!$C$32, 5.9509, 5.9455) * CHOOSE( CONTROL!$C$15, $D$11, 100%, $F$11)</f>
        <v>5.9508999999999999</v>
      </c>
      <c r="H132" s="4">
        <f>CHOOSE( CONTROL!$C$32, 6.8952, 6.8897) * CHOOSE(CONTROL!$C$15, $D$11, 100%, $F$11)</f>
        <v>6.8952</v>
      </c>
      <c r="I132" s="8">
        <f>CHOOSE( CONTROL!$C$32, 5.9512, 5.9459) * CHOOSE(CONTROL!$C$15, $D$11, 100%, $F$11)</f>
        <v>5.9512</v>
      </c>
      <c r="J132" s="4">
        <f>CHOOSE( CONTROL!$C$32, 5.834, 5.8286) * CHOOSE(CONTROL!$C$15, $D$11, 100%, $F$11)</f>
        <v>5.8339999999999996</v>
      </c>
      <c r="K132" s="4"/>
      <c r="L132" s="9">
        <v>30.7165</v>
      </c>
      <c r="M132" s="9">
        <v>12.063700000000001</v>
      </c>
      <c r="N132" s="9">
        <v>4.9444999999999997</v>
      </c>
      <c r="O132" s="9">
        <v>0.37409999999999999</v>
      </c>
      <c r="P132" s="9">
        <v>1.2183999999999999</v>
      </c>
      <c r="Q132" s="9">
        <v>32.440300000000001</v>
      </c>
      <c r="R132" s="9"/>
      <c r="S132" s="11"/>
    </row>
    <row r="133" spans="1:19" ht="15.75">
      <c r="A133" s="13">
        <v>45536</v>
      </c>
      <c r="B133" s="8">
        <f>CHOOSE( CONTROL!$C$32, 5.9797, 5.9741) * CHOOSE(CONTROL!$C$15, $D$11, 100%, $F$11)</f>
        <v>5.9797000000000002</v>
      </c>
      <c r="C133" s="8">
        <f>CHOOSE( CONTROL!$C$32, 5.9878, 5.9822) * CHOOSE(CONTROL!$C$15, $D$11, 100%, $F$11)</f>
        <v>5.9878</v>
      </c>
      <c r="D133" s="8">
        <f>CHOOSE( CONTROL!$C$32, 6.0141, 6.0086) * CHOOSE( CONTROL!$C$15, $D$11, 100%, $F$11)</f>
        <v>6.0141</v>
      </c>
      <c r="E133" s="12">
        <f>CHOOSE( CONTROL!$C$32, 6.0033, 5.9978) * CHOOSE( CONTROL!$C$15, $D$11, 100%, $F$11)</f>
        <v>6.0033000000000003</v>
      </c>
      <c r="F133" s="4">
        <f>CHOOSE( CONTROL!$C$32, 6.6921, 6.6865) * CHOOSE(CONTROL!$C$15, $D$11, 100%, $F$11)</f>
        <v>6.6920999999999999</v>
      </c>
      <c r="G133" s="8">
        <f>CHOOSE( CONTROL!$C$32, 5.8267, 5.8212) * CHOOSE( CONTROL!$C$15, $D$11, 100%, $F$11)</f>
        <v>5.8266999999999998</v>
      </c>
      <c r="H133" s="4">
        <f>CHOOSE( CONTROL!$C$32, 6.7709, 6.7655) * CHOOSE(CONTROL!$C$15, $D$11, 100%, $F$11)</f>
        <v>6.7709000000000001</v>
      </c>
      <c r="I133" s="8">
        <f>CHOOSE( CONTROL!$C$32, 5.8288, 5.8235) * CHOOSE(CONTROL!$C$15, $D$11, 100%, $F$11)</f>
        <v>5.8288000000000002</v>
      </c>
      <c r="J133" s="4">
        <f>CHOOSE( CONTROL!$C$32, 5.7119, 5.7065) * CHOOSE(CONTROL!$C$15, $D$11, 100%, $F$11)</f>
        <v>5.7119</v>
      </c>
      <c r="K133" s="4"/>
      <c r="L133" s="9">
        <v>29.7257</v>
      </c>
      <c r="M133" s="9">
        <v>11.6745</v>
      </c>
      <c r="N133" s="9">
        <v>4.7850000000000001</v>
      </c>
      <c r="O133" s="9">
        <v>0.36199999999999999</v>
      </c>
      <c r="P133" s="9">
        <v>1.1791</v>
      </c>
      <c r="Q133" s="9">
        <v>31.393799999999999</v>
      </c>
      <c r="R133" s="9"/>
      <c r="S133" s="11"/>
    </row>
    <row r="134" spans="1:19" ht="15.75">
      <c r="A134" s="13">
        <v>45566</v>
      </c>
      <c r="B134" s="8">
        <f>6.2364 * CHOOSE(CONTROL!$C$15, $D$11, 100%, $F$11)</f>
        <v>6.2363999999999997</v>
      </c>
      <c r="C134" s="8">
        <f>6.2419 * CHOOSE(CONTROL!$C$15, $D$11, 100%, $F$11)</f>
        <v>6.2419000000000002</v>
      </c>
      <c r="D134" s="8">
        <f>6.2731 * CHOOSE( CONTROL!$C$15, $D$11, 100%, $F$11)</f>
        <v>6.2731000000000003</v>
      </c>
      <c r="E134" s="12">
        <f>6.2622 * CHOOSE( CONTROL!$C$15, $D$11, 100%, $F$11)</f>
        <v>6.2622</v>
      </c>
      <c r="F134" s="4">
        <f>6.9506 * CHOOSE(CONTROL!$C$15, $D$11, 100%, $F$11)</f>
        <v>6.9505999999999997</v>
      </c>
      <c r="G134" s="8">
        <f>6.0782 * CHOOSE( CONTROL!$C$15, $D$11, 100%, $F$11)</f>
        <v>6.0781999999999998</v>
      </c>
      <c r="H134" s="4">
        <f>7.0234 * CHOOSE(CONTROL!$C$15, $D$11, 100%, $F$11)</f>
        <v>7.0233999999999996</v>
      </c>
      <c r="I134" s="8">
        <f>6.078 * CHOOSE(CONTROL!$C$15, $D$11, 100%, $F$11)</f>
        <v>6.0780000000000003</v>
      </c>
      <c r="J134" s="4">
        <f>5.96 * CHOOSE(CONTROL!$C$15, $D$11, 100%, $F$11)</f>
        <v>5.96</v>
      </c>
      <c r="K134" s="4"/>
      <c r="L134" s="9">
        <v>31.095300000000002</v>
      </c>
      <c r="M134" s="9">
        <v>12.063700000000001</v>
      </c>
      <c r="N134" s="9">
        <v>4.9444999999999997</v>
      </c>
      <c r="O134" s="9">
        <v>0.37409999999999999</v>
      </c>
      <c r="P134" s="9">
        <v>1.2183999999999999</v>
      </c>
      <c r="Q134" s="9">
        <v>32.440300000000001</v>
      </c>
      <c r="R134" s="9"/>
      <c r="S134" s="11"/>
    </row>
    <row r="135" spans="1:19" ht="15.75">
      <c r="A135" s="13">
        <v>45597</v>
      </c>
      <c r="B135" s="8">
        <f>6.7234 * CHOOSE(CONTROL!$C$15, $D$11, 100%, $F$11)</f>
        <v>6.7233999999999998</v>
      </c>
      <c r="C135" s="8">
        <f>6.7286 * CHOOSE(CONTROL!$C$15, $D$11, 100%, $F$11)</f>
        <v>6.7286000000000001</v>
      </c>
      <c r="D135" s="8">
        <f>6.7148 * CHOOSE( CONTROL!$C$15, $D$11, 100%, $F$11)</f>
        <v>6.7148000000000003</v>
      </c>
      <c r="E135" s="12">
        <f>6.7193 * CHOOSE( CONTROL!$C$15, $D$11, 100%, $F$11)</f>
        <v>6.7192999999999996</v>
      </c>
      <c r="F135" s="4">
        <f>7.3739 * CHOOSE(CONTROL!$C$15, $D$11, 100%, $F$11)</f>
        <v>7.3738999999999999</v>
      </c>
      <c r="G135" s="8">
        <f>6.5618 * CHOOSE( CONTROL!$C$15, $D$11, 100%, $F$11)</f>
        <v>6.5617999999999999</v>
      </c>
      <c r="H135" s="4">
        <f>7.4368 * CHOOSE(CONTROL!$C$15, $D$11, 100%, $F$11)</f>
        <v>7.4367999999999999</v>
      </c>
      <c r="I135" s="8">
        <f>6.5897 * CHOOSE(CONTROL!$C$15, $D$11, 100%, $F$11)</f>
        <v>6.5896999999999997</v>
      </c>
      <c r="J135" s="4">
        <f>6.428 * CHOOSE(CONTROL!$C$15, $D$11, 100%, $F$11)</f>
        <v>6.4279999999999999</v>
      </c>
      <c r="K135" s="4"/>
      <c r="L135" s="9">
        <v>28.360600000000002</v>
      </c>
      <c r="M135" s="9">
        <v>11.6745</v>
      </c>
      <c r="N135" s="9">
        <v>4.7850000000000001</v>
      </c>
      <c r="O135" s="9">
        <v>0.36199999999999999</v>
      </c>
      <c r="P135" s="9">
        <v>1.2509999999999999</v>
      </c>
      <c r="Q135" s="9">
        <v>31.393799999999999</v>
      </c>
      <c r="R135" s="9"/>
      <c r="S135" s="11"/>
    </row>
    <row r="136" spans="1:19" ht="15.75">
      <c r="A136" s="13">
        <v>45627</v>
      </c>
      <c r="B136" s="8">
        <f>6.7112 * CHOOSE(CONTROL!$C$15, $D$11, 100%, $F$11)</f>
        <v>6.7111999999999998</v>
      </c>
      <c r="C136" s="8">
        <f>6.7164 * CHOOSE(CONTROL!$C$15, $D$11, 100%, $F$11)</f>
        <v>6.7164000000000001</v>
      </c>
      <c r="D136" s="8">
        <f>6.7041 * CHOOSE( CONTROL!$C$15, $D$11, 100%, $F$11)</f>
        <v>6.7041000000000004</v>
      </c>
      <c r="E136" s="12">
        <f>6.708 * CHOOSE( CONTROL!$C$15, $D$11, 100%, $F$11)</f>
        <v>6.7080000000000002</v>
      </c>
      <c r="F136" s="4">
        <f>7.3617 * CHOOSE(CONTROL!$C$15, $D$11, 100%, $F$11)</f>
        <v>7.3616999999999999</v>
      </c>
      <c r="G136" s="8">
        <f>6.551 * CHOOSE( CONTROL!$C$15, $D$11, 100%, $F$11)</f>
        <v>6.5510000000000002</v>
      </c>
      <c r="H136" s="4">
        <f>7.4249 * CHOOSE(CONTROL!$C$15, $D$11, 100%, $F$11)</f>
        <v>7.4249000000000001</v>
      </c>
      <c r="I136" s="8">
        <f>6.5828 * CHOOSE(CONTROL!$C$15, $D$11, 100%, $F$11)</f>
        <v>6.5827999999999998</v>
      </c>
      <c r="J136" s="4">
        <f>6.4163 * CHOOSE(CONTROL!$C$15, $D$11, 100%, $F$11)</f>
        <v>6.4162999999999997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32.440300000000001</v>
      </c>
      <c r="R136" s="9"/>
      <c r="S136" s="11"/>
    </row>
    <row r="137" spans="1:19" ht="15.75">
      <c r="A137" s="13">
        <v>45658</v>
      </c>
      <c r="B137" s="8">
        <f>6.9519 * CHOOSE(CONTROL!$C$15, $D$11, 100%, $F$11)</f>
        <v>6.9519000000000002</v>
      </c>
      <c r="C137" s="8">
        <f>6.9571 * CHOOSE(CONTROL!$C$15, $D$11, 100%, $F$11)</f>
        <v>6.9570999999999996</v>
      </c>
      <c r="D137" s="8">
        <f>6.9396 * CHOOSE( CONTROL!$C$15, $D$11, 100%, $F$11)</f>
        <v>6.9396000000000004</v>
      </c>
      <c r="E137" s="12">
        <f>6.9454 * CHOOSE( CONTROL!$C$15, $D$11, 100%, $F$11)</f>
        <v>6.9454000000000002</v>
      </c>
      <c r="F137" s="4">
        <f>7.6024 * CHOOSE(CONTROL!$C$15, $D$11, 100%, $F$11)</f>
        <v>7.6024000000000003</v>
      </c>
      <c r="G137" s="8">
        <f>6.7761 * CHOOSE( CONTROL!$C$15, $D$11, 100%, $F$11)</f>
        <v>6.7760999999999996</v>
      </c>
      <c r="H137" s="4">
        <f>7.6601 * CHOOSE(CONTROL!$C$15, $D$11, 100%, $F$11)</f>
        <v>7.6600999999999999</v>
      </c>
      <c r="I137" s="8">
        <f>6.7739 * CHOOSE(CONTROL!$C$15, $D$11, 100%, $F$11)</f>
        <v>6.7739000000000003</v>
      </c>
      <c r="J137" s="4">
        <f>6.6474 * CHOOSE(CONTROL!$C$15, $D$11, 100%, $F$11)</f>
        <v>6.6474000000000002</v>
      </c>
      <c r="K137" s="4"/>
      <c r="L137" s="9">
        <v>29.306000000000001</v>
      </c>
      <c r="M137" s="9">
        <v>12.063700000000001</v>
      </c>
      <c r="N137" s="9">
        <v>4.9444999999999997</v>
      </c>
      <c r="O137" s="9">
        <v>0.37409999999999999</v>
      </c>
      <c r="P137" s="9">
        <v>1.2927</v>
      </c>
      <c r="Q137" s="9">
        <v>32.254300000000001</v>
      </c>
      <c r="R137" s="9"/>
      <c r="S137" s="11"/>
    </row>
    <row r="138" spans="1:19" ht="15.75">
      <c r="A138" s="13">
        <v>45689</v>
      </c>
      <c r="B138" s="8">
        <f>6.5043 * CHOOSE(CONTROL!$C$15, $D$11, 100%, $F$11)</f>
        <v>6.5042999999999997</v>
      </c>
      <c r="C138" s="8">
        <f>6.5095 * CHOOSE(CONTROL!$C$15, $D$11, 100%, $F$11)</f>
        <v>6.5095000000000001</v>
      </c>
      <c r="D138" s="8">
        <f>6.4919 * CHOOSE( CONTROL!$C$15, $D$11, 100%, $F$11)</f>
        <v>6.4919000000000002</v>
      </c>
      <c r="E138" s="12">
        <f>6.4978 * CHOOSE( CONTROL!$C$15, $D$11, 100%, $F$11)</f>
        <v>6.4977999999999998</v>
      </c>
      <c r="F138" s="4">
        <f>7.1548 * CHOOSE(CONTROL!$C$15, $D$11, 100%, $F$11)</f>
        <v>7.1547999999999998</v>
      </c>
      <c r="G138" s="8">
        <f>6.3389 * CHOOSE( CONTROL!$C$15, $D$11, 100%, $F$11)</f>
        <v>6.3388999999999998</v>
      </c>
      <c r="H138" s="4">
        <f>7.2229 * CHOOSE(CONTROL!$C$15, $D$11, 100%, $F$11)</f>
        <v>7.2229000000000001</v>
      </c>
      <c r="I138" s="8">
        <f>6.3437 * CHOOSE(CONTROL!$C$15, $D$11, 100%, $F$11)</f>
        <v>6.3437000000000001</v>
      </c>
      <c r="J138" s="4">
        <f>6.2176 * CHOOSE(CONTROL!$C$15, $D$11, 100%, $F$11)</f>
        <v>6.2176</v>
      </c>
      <c r="K138" s="4"/>
      <c r="L138" s="9">
        <v>26.469899999999999</v>
      </c>
      <c r="M138" s="9">
        <v>10.8962</v>
      </c>
      <c r="N138" s="9">
        <v>4.4660000000000002</v>
      </c>
      <c r="O138" s="9">
        <v>0.33789999999999998</v>
      </c>
      <c r="P138" s="9">
        <v>1.1676</v>
      </c>
      <c r="Q138" s="9">
        <v>29.132899999999999</v>
      </c>
      <c r="R138" s="9"/>
      <c r="S138" s="11"/>
    </row>
    <row r="139" spans="1:19" ht="15.75">
      <c r="A139" s="13">
        <v>45717</v>
      </c>
      <c r="B139" s="8">
        <f>6.3665 * CHOOSE(CONTROL!$C$15, $D$11, 100%, $F$11)</f>
        <v>6.3665000000000003</v>
      </c>
      <c r="C139" s="8">
        <f>6.3717 * CHOOSE(CONTROL!$C$15, $D$11, 100%, $F$11)</f>
        <v>6.3716999999999997</v>
      </c>
      <c r="D139" s="8">
        <f>6.3537 * CHOOSE( CONTROL!$C$15, $D$11, 100%, $F$11)</f>
        <v>6.3536999999999999</v>
      </c>
      <c r="E139" s="12">
        <f>6.3597 * CHOOSE( CONTROL!$C$15, $D$11, 100%, $F$11)</f>
        <v>6.3597000000000001</v>
      </c>
      <c r="F139" s="4">
        <f>7.0169 * CHOOSE(CONTROL!$C$15, $D$11, 100%, $F$11)</f>
        <v>7.0168999999999997</v>
      </c>
      <c r="G139" s="8">
        <f>6.204 * CHOOSE( CONTROL!$C$15, $D$11, 100%, $F$11)</f>
        <v>6.2039999999999997</v>
      </c>
      <c r="H139" s="4">
        <f>7.0882 * CHOOSE(CONTROL!$C$15, $D$11, 100%, $F$11)</f>
        <v>7.0881999999999996</v>
      </c>
      <c r="I139" s="8">
        <f>6.2101 * CHOOSE(CONTROL!$C$15, $D$11, 100%, $F$11)</f>
        <v>6.2100999999999997</v>
      </c>
      <c r="J139" s="4">
        <f>6.0853 * CHOOSE(CONTROL!$C$15, $D$11, 100%, $F$11)</f>
        <v>6.0853000000000002</v>
      </c>
      <c r="K139" s="4"/>
      <c r="L139" s="9">
        <v>29.306000000000001</v>
      </c>
      <c r="M139" s="9">
        <v>12.063700000000001</v>
      </c>
      <c r="N139" s="9">
        <v>4.9444999999999997</v>
      </c>
      <c r="O139" s="9">
        <v>0.37409999999999999</v>
      </c>
      <c r="P139" s="9">
        <v>1.2927</v>
      </c>
      <c r="Q139" s="9">
        <v>32.254300000000001</v>
      </c>
      <c r="R139" s="9"/>
      <c r="S139" s="11"/>
    </row>
    <row r="140" spans="1:19" ht="15.75">
      <c r="A140" s="13">
        <v>45748</v>
      </c>
      <c r="B140" s="8">
        <f>6.4636 * CHOOSE(CONTROL!$C$15, $D$11, 100%, $F$11)</f>
        <v>6.4635999999999996</v>
      </c>
      <c r="C140" s="8">
        <f>6.4682 * CHOOSE(CONTROL!$C$15, $D$11, 100%, $F$11)</f>
        <v>6.4682000000000004</v>
      </c>
      <c r="D140" s="8">
        <f>6.4993 * CHOOSE( CONTROL!$C$15, $D$11, 100%, $F$11)</f>
        <v>6.4992999999999999</v>
      </c>
      <c r="E140" s="12">
        <f>6.4885 * CHOOSE( CONTROL!$C$15, $D$11, 100%, $F$11)</f>
        <v>6.4885000000000002</v>
      </c>
      <c r="F140" s="4">
        <f>7.1773 * CHOOSE(CONTROL!$C$15, $D$11, 100%, $F$11)</f>
        <v>7.1772999999999998</v>
      </c>
      <c r="G140" s="8">
        <f>6.2989 * CHOOSE( CONTROL!$C$15, $D$11, 100%, $F$11)</f>
        <v>6.2988999999999997</v>
      </c>
      <c r="H140" s="4">
        <f>7.2449 * CHOOSE(CONTROL!$C$15, $D$11, 100%, $F$11)</f>
        <v>7.2449000000000003</v>
      </c>
      <c r="I140" s="8">
        <f>6.2932 * CHOOSE(CONTROL!$C$15, $D$11, 100%, $F$11)</f>
        <v>6.2931999999999997</v>
      </c>
      <c r="J140" s="4">
        <f>6.1778 * CHOOSE(CONTROL!$C$15, $D$11, 100%, $F$11)</f>
        <v>6.1778000000000004</v>
      </c>
      <c r="K140" s="4"/>
      <c r="L140" s="9">
        <v>30.092199999999998</v>
      </c>
      <c r="M140" s="9">
        <v>11.6745</v>
      </c>
      <c r="N140" s="9">
        <v>4.7850000000000001</v>
      </c>
      <c r="O140" s="9">
        <v>0.36199999999999999</v>
      </c>
      <c r="P140" s="9">
        <v>1.1791</v>
      </c>
      <c r="Q140" s="9">
        <v>31.213799999999999</v>
      </c>
      <c r="R140" s="9"/>
      <c r="S140" s="11"/>
    </row>
    <row r="141" spans="1:19" ht="15.75">
      <c r="A141" s="13">
        <v>45778</v>
      </c>
      <c r="B141" s="8">
        <f>CHOOSE( CONTROL!$C$32, 6.642, 6.6364) * CHOOSE(CONTROL!$C$15, $D$11, 100%, $F$11)</f>
        <v>6.6420000000000003</v>
      </c>
      <c r="C141" s="8">
        <f>CHOOSE( CONTROL!$C$32, 6.65, 6.6445) * CHOOSE(CONTROL!$C$15, $D$11, 100%, $F$11)</f>
        <v>6.65</v>
      </c>
      <c r="D141" s="8">
        <f>CHOOSE( CONTROL!$C$32, 6.676, 6.6704) * CHOOSE( CONTROL!$C$15, $D$11, 100%, $F$11)</f>
        <v>6.6760000000000002</v>
      </c>
      <c r="E141" s="12">
        <f>CHOOSE( CONTROL!$C$32, 6.6654, 6.6598) * CHOOSE( CONTROL!$C$15, $D$11, 100%, $F$11)</f>
        <v>6.6654</v>
      </c>
      <c r="F141" s="4">
        <f>CHOOSE( CONTROL!$C$32, 7.3544, 7.3488) * CHOOSE(CONTROL!$C$15, $D$11, 100%, $F$11)</f>
        <v>7.3544</v>
      </c>
      <c r="G141" s="8">
        <f>CHOOSE( CONTROL!$C$32, 6.4729, 6.4675) * CHOOSE( CONTROL!$C$15, $D$11, 100%, $F$11)</f>
        <v>6.4729000000000001</v>
      </c>
      <c r="H141" s="4">
        <f>CHOOSE( CONTROL!$C$32, 7.4178, 7.4123) * CHOOSE(CONTROL!$C$15, $D$11, 100%, $F$11)</f>
        <v>7.4177999999999997</v>
      </c>
      <c r="I141" s="8">
        <f>CHOOSE( CONTROL!$C$32, 6.4632, 6.4578) * CHOOSE(CONTROL!$C$15, $D$11, 100%, $F$11)</f>
        <v>6.4631999999999996</v>
      </c>
      <c r="J141" s="4">
        <f>CHOOSE( CONTROL!$C$32, 6.3477, 6.3424) * CHOOSE(CONTROL!$C$15, $D$11, 100%, $F$11)</f>
        <v>6.3476999999999997</v>
      </c>
      <c r="K141" s="4"/>
      <c r="L141" s="9">
        <v>30.7165</v>
      </c>
      <c r="M141" s="9">
        <v>12.063700000000001</v>
      </c>
      <c r="N141" s="9">
        <v>4.9444999999999997</v>
      </c>
      <c r="O141" s="9">
        <v>0.37409999999999999</v>
      </c>
      <c r="P141" s="9">
        <v>1.2183999999999999</v>
      </c>
      <c r="Q141" s="9">
        <v>32.254300000000001</v>
      </c>
      <c r="R141" s="9"/>
      <c r="S141" s="11"/>
    </row>
    <row r="142" spans="1:19" ht="15.75">
      <c r="A142" s="13">
        <v>45809</v>
      </c>
      <c r="B142" s="8">
        <f>CHOOSE( CONTROL!$C$32, 6.5358, 6.5302) * CHOOSE(CONTROL!$C$15, $D$11, 100%, $F$11)</f>
        <v>6.5358000000000001</v>
      </c>
      <c r="C142" s="8">
        <f>CHOOSE( CONTROL!$C$32, 6.5438, 6.5383) * CHOOSE(CONTROL!$C$15, $D$11, 100%, $F$11)</f>
        <v>6.5438000000000001</v>
      </c>
      <c r="D142" s="8">
        <f>CHOOSE( CONTROL!$C$32, 6.57, 6.5644) * CHOOSE( CONTROL!$C$15, $D$11, 100%, $F$11)</f>
        <v>6.57</v>
      </c>
      <c r="E142" s="12">
        <f>CHOOSE( CONTROL!$C$32, 6.5593, 6.5537) * CHOOSE( CONTROL!$C$15, $D$11, 100%, $F$11)</f>
        <v>6.5593000000000004</v>
      </c>
      <c r="F142" s="4">
        <f>CHOOSE( CONTROL!$C$32, 7.2481, 7.2426) * CHOOSE(CONTROL!$C$15, $D$11, 100%, $F$11)</f>
        <v>7.2481</v>
      </c>
      <c r="G142" s="8">
        <f>CHOOSE( CONTROL!$C$32, 6.3694, 6.364) * CHOOSE( CONTROL!$C$15, $D$11, 100%, $F$11)</f>
        <v>6.3693999999999997</v>
      </c>
      <c r="H142" s="4">
        <f>CHOOSE( CONTROL!$C$32, 7.314, 7.3086) * CHOOSE(CONTROL!$C$15, $D$11, 100%, $F$11)</f>
        <v>7.3140000000000001</v>
      </c>
      <c r="I142" s="8">
        <f>CHOOSE( CONTROL!$C$32, 6.3619, 6.3566) * CHOOSE(CONTROL!$C$15, $D$11, 100%, $F$11)</f>
        <v>6.3619000000000003</v>
      </c>
      <c r="J142" s="4">
        <f>CHOOSE( CONTROL!$C$32, 6.2458, 6.2404) * CHOOSE(CONTROL!$C$15, $D$11, 100%, $F$11)</f>
        <v>6.2458</v>
      </c>
      <c r="K142" s="4"/>
      <c r="L142" s="9">
        <v>29.7257</v>
      </c>
      <c r="M142" s="9">
        <v>11.6745</v>
      </c>
      <c r="N142" s="9">
        <v>4.7850000000000001</v>
      </c>
      <c r="O142" s="9">
        <v>0.36199999999999999</v>
      </c>
      <c r="P142" s="9">
        <v>1.1791</v>
      </c>
      <c r="Q142" s="9">
        <v>31.213799999999999</v>
      </c>
      <c r="R142" s="9"/>
      <c r="S142" s="11"/>
    </row>
    <row r="143" spans="1:19" ht="15.75">
      <c r="A143" s="13">
        <v>45839</v>
      </c>
      <c r="B143" s="8">
        <f>CHOOSE( CONTROL!$C$32, 6.8154, 6.8099) * CHOOSE(CONTROL!$C$15, $D$11, 100%, $F$11)</f>
        <v>6.8154000000000003</v>
      </c>
      <c r="C143" s="8">
        <f>CHOOSE( CONTROL!$C$32, 6.8235, 6.818) * CHOOSE(CONTROL!$C$15, $D$11, 100%, $F$11)</f>
        <v>6.8235000000000001</v>
      </c>
      <c r="D143" s="8">
        <f>CHOOSE( CONTROL!$C$32, 6.8499, 6.8443) * CHOOSE( CONTROL!$C$15, $D$11, 100%, $F$11)</f>
        <v>6.8498999999999999</v>
      </c>
      <c r="E143" s="12">
        <f>CHOOSE( CONTROL!$C$32, 6.8391, 6.8335) * CHOOSE( CONTROL!$C$15, $D$11, 100%, $F$11)</f>
        <v>6.8391000000000002</v>
      </c>
      <c r="F143" s="4">
        <f>CHOOSE( CONTROL!$C$32, 7.5278, 7.5223) * CHOOSE(CONTROL!$C$15, $D$11, 100%, $F$11)</f>
        <v>7.5278</v>
      </c>
      <c r="G143" s="8">
        <f>CHOOSE( CONTROL!$C$32, 6.6429, 6.6375) * CHOOSE( CONTROL!$C$15, $D$11, 100%, $F$11)</f>
        <v>6.6429</v>
      </c>
      <c r="H143" s="4">
        <f>CHOOSE( CONTROL!$C$32, 7.5872, 7.5818) * CHOOSE(CONTROL!$C$15, $D$11, 100%, $F$11)</f>
        <v>7.5872000000000002</v>
      </c>
      <c r="I143" s="8">
        <f>CHOOSE( CONTROL!$C$32, 6.6316, 6.6262) * CHOOSE(CONTROL!$C$15, $D$11, 100%, $F$11)</f>
        <v>6.6315999999999997</v>
      </c>
      <c r="J143" s="4">
        <f>CHOOSE( CONTROL!$C$32, 6.5143, 6.5089) * CHOOSE(CONTROL!$C$15, $D$11, 100%, $F$11)</f>
        <v>6.5143000000000004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1.2183999999999999</v>
      </c>
      <c r="Q143" s="9">
        <v>32.254300000000001</v>
      </c>
      <c r="R143" s="9"/>
      <c r="S143" s="11"/>
    </row>
    <row r="144" spans="1:19" ht="15.75">
      <c r="A144" s="13">
        <v>45870</v>
      </c>
      <c r="B144" s="8">
        <f>CHOOSE( CONTROL!$C$32, 6.2921, 6.2865) * CHOOSE(CONTROL!$C$15, $D$11, 100%, $F$11)</f>
        <v>6.2920999999999996</v>
      </c>
      <c r="C144" s="8">
        <f>CHOOSE( CONTROL!$C$32, 6.3002, 6.2946) * CHOOSE(CONTROL!$C$15, $D$11, 100%, $F$11)</f>
        <v>6.3002000000000002</v>
      </c>
      <c r="D144" s="8">
        <f>CHOOSE( CONTROL!$C$32, 6.3266, 6.321) * CHOOSE( CONTROL!$C$15, $D$11, 100%, $F$11)</f>
        <v>6.3266</v>
      </c>
      <c r="E144" s="12">
        <f>CHOOSE( CONTROL!$C$32, 6.3158, 6.3102) * CHOOSE( CONTROL!$C$15, $D$11, 100%, $F$11)</f>
        <v>6.3158000000000003</v>
      </c>
      <c r="F144" s="4">
        <f>CHOOSE( CONTROL!$C$32, 7.0045, 6.9989) * CHOOSE(CONTROL!$C$15, $D$11, 100%, $F$11)</f>
        <v>7.0045000000000002</v>
      </c>
      <c r="G144" s="8">
        <f>CHOOSE( CONTROL!$C$32, 6.1319, 6.1264) * CHOOSE( CONTROL!$C$15, $D$11, 100%, $F$11)</f>
        <v>6.1318999999999999</v>
      </c>
      <c r="H144" s="4">
        <f>CHOOSE( CONTROL!$C$32, 7.0761, 7.0707) * CHOOSE(CONTROL!$C$15, $D$11, 100%, $F$11)</f>
        <v>7.0761000000000003</v>
      </c>
      <c r="I144" s="8">
        <f>CHOOSE( CONTROL!$C$32, 6.1292, 6.1238) * CHOOSE(CONTROL!$C$15, $D$11, 100%, $F$11)</f>
        <v>6.1292</v>
      </c>
      <c r="J144" s="4">
        <f>CHOOSE( CONTROL!$C$32, 6.0118, 6.0065) * CHOOSE(CONTROL!$C$15, $D$11, 100%, $F$11)</f>
        <v>6.0118</v>
      </c>
      <c r="K144" s="4"/>
      <c r="L144" s="9">
        <v>30.7165</v>
      </c>
      <c r="M144" s="9">
        <v>12.063700000000001</v>
      </c>
      <c r="N144" s="9">
        <v>4.9444999999999997</v>
      </c>
      <c r="O144" s="9">
        <v>0.37409999999999999</v>
      </c>
      <c r="P144" s="9">
        <v>1.2183999999999999</v>
      </c>
      <c r="Q144" s="9">
        <v>32.254300000000001</v>
      </c>
      <c r="R144" s="9"/>
      <c r="S144" s="11"/>
    </row>
    <row r="145" spans="1:19" ht="15.75">
      <c r="A145" s="13">
        <v>45901</v>
      </c>
      <c r="B145" s="8">
        <f>CHOOSE( CONTROL!$C$32, 6.1611, 6.1555) * CHOOSE(CONTROL!$C$15, $D$11, 100%, $F$11)</f>
        <v>6.1611000000000002</v>
      </c>
      <c r="C145" s="8">
        <f>CHOOSE( CONTROL!$C$32, 6.1692, 6.1636) * CHOOSE(CONTROL!$C$15, $D$11, 100%, $F$11)</f>
        <v>6.1692</v>
      </c>
      <c r="D145" s="8">
        <f>CHOOSE( CONTROL!$C$32, 6.1955, 6.1899) * CHOOSE( CONTROL!$C$15, $D$11, 100%, $F$11)</f>
        <v>6.1955</v>
      </c>
      <c r="E145" s="12">
        <f>CHOOSE( CONTROL!$C$32, 6.1847, 6.1791) * CHOOSE( CONTROL!$C$15, $D$11, 100%, $F$11)</f>
        <v>6.1847000000000003</v>
      </c>
      <c r="F145" s="4">
        <f>CHOOSE( CONTROL!$C$32, 6.8735, 6.8679) * CHOOSE(CONTROL!$C$15, $D$11, 100%, $F$11)</f>
        <v>6.8734999999999999</v>
      </c>
      <c r="G145" s="8">
        <f>CHOOSE( CONTROL!$C$32, 6.0038, 5.9984) * CHOOSE( CONTROL!$C$15, $D$11, 100%, $F$11)</f>
        <v>6.0038</v>
      </c>
      <c r="H145" s="4">
        <f>CHOOSE( CONTROL!$C$32, 6.9481, 6.9427) * CHOOSE(CONTROL!$C$15, $D$11, 100%, $F$11)</f>
        <v>6.9481000000000002</v>
      </c>
      <c r="I145" s="8">
        <f>CHOOSE( CONTROL!$C$32, 6.003, 5.9977) * CHOOSE(CONTROL!$C$15, $D$11, 100%, $F$11)</f>
        <v>6.0030000000000001</v>
      </c>
      <c r="J145" s="4">
        <f>CHOOSE( CONTROL!$C$32, 5.886, 5.8807) * CHOOSE(CONTROL!$C$15, $D$11, 100%, $F$11)</f>
        <v>5.8860000000000001</v>
      </c>
      <c r="K145" s="4"/>
      <c r="L145" s="9">
        <v>29.7257</v>
      </c>
      <c r="M145" s="9">
        <v>11.6745</v>
      </c>
      <c r="N145" s="9">
        <v>4.7850000000000001</v>
      </c>
      <c r="O145" s="9">
        <v>0.36199999999999999</v>
      </c>
      <c r="P145" s="9">
        <v>1.1791</v>
      </c>
      <c r="Q145" s="9">
        <v>31.213799999999999</v>
      </c>
      <c r="R145" s="9"/>
      <c r="S145" s="11"/>
    </row>
    <row r="146" spans="1:19" ht="15.75">
      <c r="A146" s="13">
        <v>45931</v>
      </c>
      <c r="B146" s="8">
        <f>6.4259 * CHOOSE(CONTROL!$C$15, $D$11, 100%, $F$11)</f>
        <v>6.4259000000000004</v>
      </c>
      <c r="C146" s="8">
        <f>6.4313 * CHOOSE(CONTROL!$C$15, $D$11, 100%, $F$11)</f>
        <v>6.4313000000000002</v>
      </c>
      <c r="D146" s="8">
        <f>6.4625 * CHOOSE( CONTROL!$C$15, $D$11, 100%, $F$11)</f>
        <v>6.4625000000000004</v>
      </c>
      <c r="E146" s="12">
        <f>6.4516 * CHOOSE( CONTROL!$C$15, $D$11, 100%, $F$11)</f>
        <v>6.4516</v>
      </c>
      <c r="F146" s="4">
        <f>7.14 * CHOOSE(CONTROL!$C$15, $D$11, 100%, $F$11)</f>
        <v>7.14</v>
      </c>
      <c r="G146" s="8">
        <f>6.2633 * CHOOSE( CONTROL!$C$15, $D$11, 100%, $F$11)</f>
        <v>6.2633000000000001</v>
      </c>
      <c r="H146" s="4">
        <f>7.2084 * CHOOSE(CONTROL!$C$15, $D$11, 100%, $F$11)</f>
        <v>7.2084000000000001</v>
      </c>
      <c r="I146" s="8">
        <f>6.2599 * CHOOSE(CONTROL!$C$15, $D$11, 100%, $F$11)</f>
        <v>6.2599</v>
      </c>
      <c r="J146" s="4">
        <f>6.1419 * CHOOSE(CONTROL!$C$15, $D$11, 100%, $F$11)</f>
        <v>6.1418999999999997</v>
      </c>
      <c r="K146" s="4"/>
      <c r="L146" s="9">
        <v>31.095300000000002</v>
      </c>
      <c r="M146" s="9">
        <v>12.063700000000001</v>
      </c>
      <c r="N146" s="9">
        <v>4.9444999999999997</v>
      </c>
      <c r="O146" s="9">
        <v>0.37409999999999999</v>
      </c>
      <c r="P146" s="9">
        <v>1.2183999999999999</v>
      </c>
      <c r="Q146" s="9">
        <v>32.254300000000001</v>
      </c>
      <c r="R146" s="9"/>
      <c r="S146" s="11"/>
    </row>
    <row r="147" spans="1:19" ht="15.75">
      <c r="A147" s="13">
        <v>45962</v>
      </c>
      <c r="B147" s="8">
        <f>6.9277 * CHOOSE(CONTROL!$C$15, $D$11, 100%, $F$11)</f>
        <v>6.9276999999999997</v>
      </c>
      <c r="C147" s="8">
        <f>6.9329 * CHOOSE(CONTROL!$C$15, $D$11, 100%, $F$11)</f>
        <v>6.9329000000000001</v>
      </c>
      <c r="D147" s="8">
        <f>6.9191 * CHOOSE( CONTROL!$C$15, $D$11, 100%, $F$11)</f>
        <v>6.9191000000000003</v>
      </c>
      <c r="E147" s="12">
        <f>6.9236 * CHOOSE( CONTROL!$C$15, $D$11, 100%, $F$11)</f>
        <v>6.9236000000000004</v>
      </c>
      <c r="F147" s="4">
        <f>7.5782 * CHOOSE(CONTROL!$C$15, $D$11, 100%, $F$11)</f>
        <v>7.5781999999999998</v>
      </c>
      <c r="G147" s="8">
        <f>6.7614 * CHOOSE( CONTROL!$C$15, $D$11, 100%, $F$11)</f>
        <v>6.7614000000000001</v>
      </c>
      <c r="H147" s="4">
        <f>7.6364 * CHOOSE(CONTROL!$C$15, $D$11, 100%, $F$11)</f>
        <v>7.6364000000000001</v>
      </c>
      <c r="I147" s="8">
        <f>6.786 * CHOOSE(CONTROL!$C$15, $D$11, 100%, $F$11)</f>
        <v>6.7859999999999996</v>
      </c>
      <c r="J147" s="4">
        <f>6.6241 * CHOOSE(CONTROL!$C$15, $D$11, 100%, $F$11)</f>
        <v>6.6241000000000003</v>
      </c>
      <c r="K147" s="4"/>
      <c r="L147" s="9">
        <v>28.360600000000002</v>
      </c>
      <c r="M147" s="9">
        <v>11.6745</v>
      </c>
      <c r="N147" s="9">
        <v>4.7850000000000001</v>
      </c>
      <c r="O147" s="9">
        <v>0.36199999999999999</v>
      </c>
      <c r="P147" s="9">
        <v>1.2509999999999999</v>
      </c>
      <c r="Q147" s="9">
        <v>31.213799999999999</v>
      </c>
      <c r="R147" s="9"/>
      <c r="S147" s="11"/>
    </row>
    <row r="148" spans="1:19" ht="15.75">
      <c r="A148" s="13">
        <v>45992</v>
      </c>
      <c r="B148" s="8">
        <f>6.9152 * CHOOSE(CONTROL!$C$15, $D$11, 100%, $F$11)</f>
        <v>6.9151999999999996</v>
      </c>
      <c r="C148" s="8">
        <f>6.9203 * CHOOSE(CONTROL!$C$15, $D$11, 100%, $F$11)</f>
        <v>6.9203000000000001</v>
      </c>
      <c r="D148" s="8">
        <f>6.9081 * CHOOSE( CONTROL!$C$15, $D$11, 100%, $F$11)</f>
        <v>6.9081000000000001</v>
      </c>
      <c r="E148" s="12">
        <f>6.912 * CHOOSE( CONTROL!$C$15, $D$11, 100%, $F$11)</f>
        <v>6.9119999999999999</v>
      </c>
      <c r="F148" s="4">
        <f>7.5656 * CHOOSE(CONTROL!$C$15, $D$11, 100%, $F$11)</f>
        <v>7.5655999999999999</v>
      </c>
      <c r="G148" s="8">
        <f>6.7502 * CHOOSE( CONTROL!$C$15, $D$11, 100%, $F$11)</f>
        <v>6.7502000000000004</v>
      </c>
      <c r="H148" s="4">
        <f>7.6241 * CHOOSE(CONTROL!$C$15, $D$11, 100%, $F$11)</f>
        <v>7.6241000000000003</v>
      </c>
      <c r="I148" s="8">
        <f>6.7787 * CHOOSE(CONTROL!$C$15, $D$11, 100%, $F$11)</f>
        <v>6.7786999999999997</v>
      </c>
      <c r="J148" s="4">
        <f>6.6121 * CHOOSE(CONTROL!$C$15, $D$11, 100%, $F$11)</f>
        <v>6.6120999999999999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32.254300000000001</v>
      </c>
      <c r="R148" s="9"/>
      <c r="S148" s="11"/>
    </row>
    <row r="149" spans="1:19" ht="15.75">
      <c r="A149" s="13">
        <v>46023</v>
      </c>
      <c r="B149" s="8">
        <f>7.1625 * CHOOSE(CONTROL!$C$15, $D$11, 100%, $F$11)</f>
        <v>7.1624999999999996</v>
      </c>
      <c r="C149" s="8">
        <f>7.1677 * CHOOSE(CONTROL!$C$15, $D$11, 100%, $F$11)</f>
        <v>7.1677</v>
      </c>
      <c r="D149" s="8">
        <f>7.1501 * CHOOSE( CONTROL!$C$15, $D$11, 100%, $F$11)</f>
        <v>7.1501000000000001</v>
      </c>
      <c r="E149" s="12">
        <f>7.156 * CHOOSE( CONTROL!$C$15, $D$11, 100%, $F$11)</f>
        <v>7.1559999999999997</v>
      </c>
      <c r="F149" s="4">
        <f>7.8129 * CHOOSE(CONTROL!$C$15, $D$11, 100%, $F$11)</f>
        <v>7.8129</v>
      </c>
      <c r="G149" s="8">
        <f>6.9817 * CHOOSE( CONTROL!$C$15, $D$11, 100%, $F$11)</f>
        <v>6.9817</v>
      </c>
      <c r="H149" s="4">
        <f>7.8657 * CHOOSE(CONTROL!$C$15, $D$11, 100%, $F$11)</f>
        <v>7.8657000000000004</v>
      </c>
      <c r="I149" s="8">
        <f>6.9761 * CHOOSE(CONTROL!$C$15, $D$11, 100%, $F$11)</f>
        <v>6.9760999999999997</v>
      </c>
      <c r="J149" s="4">
        <f>6.8495 * CHOOSE(CONTROL!$C$15, $D$11, 100%, $F$11)</f>
        <v>6.8494999999999999</v>
      </c>
      <c r="K149" s="4"/>
      <c r="L149" s="9">
        <v>29.306000000000001</v>
      </c>
      <c r="M149" s="9">
        <v>12.063700000000001</v>
      </c>
      <c r="N149" s="9">
        <v>4.9444999999999997</v>
      </c>
      <c r="O149" s="9">
        <v>0.37409999999999999</v>
      </c>
      <c r="P149" s="9">
        <v>1.2927</v>
      </c>
      <c r="Q149" s="9">
        <v>32.070099999999996</v>
      </c>
      <c r="R149" s="9"/>
      <c r="S149" s="11"/>
    </row>
    <row r="150" spans="1:19" ht="15.75">
      <c r="A150" s="13">
        <v>46054</v>
      </c>
      <c r="B150" s="8">
        <f>6.7013 * CHOOSE(CONTROL!$C$15, $D$11, 100%, $F$11)</f>
        <v>6.7012999999999998</v>
      </c>
      <c r="C150" s="8">
        <f>6.7064 * CHOOSE(CONTROL!$C$15, $D$11, 100%, $F$11)</f>
        <v>6.7064000000000004</v>
      </c>
      <c r="D150" s="8">
        <f>6.6888 * CHOOSE( CONTROL!$C$15, $D$11, 100%, $F$11)</f>
        <v>6.6887999999999996</v>
      </c>
      <c r="E150" s="12">
        <f>6.6947 * CHOOSE( CONTROL!$C$15, $D$11, 100%, $F$11)</f>
        <v>6.6947000000000001</v>
      </c>
      <c r="F150" s="4">
        <f>7.3517 * CHOOSE(CONTROL!$C$15, $D$11, 100%, $F$11)</f>
        <v>7.3517000000000001</v>
      </c>
      <c r="G150" s="8">
        <f>6.5312 * CHOOSE( CONTROL!$C$15, $D$11, 100%, $F$11)</f>
        <v>6.5312000000000001</v>
      </c>
      <c r="H150" s="4">
        <f>7.4152 * CHOOSE(CONTROL!$C$15, $D$11, 100%, $F$11)</f>
        <v>7.4151999999999996</v>
      </c>
      <c r="I150" s="8">
        <f>6.5329 * CHOOSE(CONTROL!$C$15, $D$11, 100%, $F$11)</f>
        <v>6.5328999999999997</v>
      </c>
      <c r="J150" s="4">
        <f>6.4067 * CHOOSE(CONTROL!$C$15, $D$11, 100%, $F$11)</f>
        <v>6.4066999999999998</v>
      </c>
      <c r="K150" s="4"/>
      <c r="L150" s="9">
        <v>26.469899999999999</v>
      </c>
      <c r="M150" s="9">
        <v>10.8962</v>
      </c>
      <c r="N150" s="9">
        <v>4.4660000000000002</v>
      </c>
      <c r="O150" s="9">
        <v>0.33789999999999998</v>
      </c>
      <c r="P150" s="9">
        <v>1.1676</v>
      </c>
      <c r="Q150" s="9">
        <v>28.9666</v>
      </c>
      <c r="R150" s="9"/>
      <c r="S150" s="11"/>
    </row>
    <row r="151" spans="1:19" ht="15.75">
      <c r="A151" s="13">
        <v>46082</v>
      </c>
      <c r="B151" s="8">
        <f>6.5592 * CHOOSE(CONTROL!$C$15, $D$11, 100%, $F$11)</f>
        <v>6.5591999999999997</v>
      </c>
      <c r="C151" s="8">
        <f>6.5644 * CHOOSE(CONTROL!$C$15, $D$11, 100%, $F$11)</f>
        <v>6.5644</v>
      </c>
      <c r="D151" s="8">
        <f>6.5464 * CHOOSE( CONTROL!$C$15, $D$11, 100%, $F$11)</f>
        <v>6.5464000000000002</v>
      </c>
      <c r="E151" s="12">
        <f>6.5524 * CHOOSE( CONTROL!$C$15, $D$11, 100%, $F$11)</f>
        <v>6.5523999999999996</v>
      </c>
      <c r="F151" s="4">
        <f>7.2097 * CHOOSE(CONTROL!$C$15, $D$11, 100%, $F$11)</f>
        <v>7.2096999999999998</v>
      </c>
      <c r="G151" s="8">
        <f>6.3922 * CHOOSE( CONTROL!$C$15, $D$11, 100%, $F$11)</f>
        <v>6.3921999999999999</v>
      </c>
      <c r="H151" s="4">
        <f>7.2765 * CHOOSE(CONTROL!$C$15, $D$11, 100%, $F$11)</f>
        <v>7.2765000000000004</v>
      </c>
      <c r="I151" s="8">
        <f>6.3953 * CHOOSE(CONTROL!$C$15, $D$11, 100%, $F$11)</f>
        <v>6.3952999999999998</v>
      </c>
      <c r="J151" s="4">
        <f>6.2703 * CHOOSE(CONTROL!$C$15, $D$11, 100%, $F$11)</f>
        <v>6.2702999999999998</v>
      </c>
      <c r="K151" s="4"/>
      <c r="L151" s="9">
        <v>29.306000000000001</v>
      </c>
      <c r="M151" s="9">
        <v>12.063700000000001</v>
      </c>
      <c r="N151" s="9">
        <v>4.9444999999999997</v>
      </c>
      <c r="O151" s="9">
        <v>0.37409999999999999</v>
      </c>
      <c r="P151" s="9">
        <v>1.2927</v>
      </c>
      <c r="Q151" s="9">
        <v>32.070099999999996</v>
      </c>
      <c r="R151" s="9"/>
      <c r="S151" s="11"/>
    </row>
    <row r="152" spans="1:19" ht="15.75">
      <c r="A152" s="13">
        <v>46113</v>
      </c>
      <c r="B152" s="8">
        <f>6.6592 * CHOOSE(CONTROL!$C$15, $D$11, 100%, $F$11)</f>
        <v>6.6592000000000002</v>
      </c>
      <c r="C152" s="8">
        <f>6.6639 * CHOOSE(CONTROL!$C$15, $D$11, 100%, $F$11)</f>
        <v>6.6638999999999999</v>
      </c>
      <c r="D152" s="8">
        <f>6.695 * CHOOSE( CONTROL!$C$15, $D$11, 100%, $F$11)</f>
        <v>6.6950000000000003</v>
      </c>
      <c r="E152" s="12">
        <f>6.6842 * CHOOSE( CONTROL!$C$15, $D$11, 100%, $F$11)</f>
        <v>6.6841999999999997</v>
      </c>
      <c r="F152" s="4">
        <f>7.373 * CHOOSE(CONTROL!$C$15, $D$11, 100%, $F$11)</f>
        <v>7.3730000000000002</v>
      </c>
      <c r="G152" s="8">
        <f>6.49 * CHOOSE( CONTROL!$C$15, $D$11, 100%, $F$11)</f>
        <v>6.49</v>
      </c>
      <c r="H152" s="4">
        <f>7.436 * CHOOSE(CONTROL!$C$15, $D$11, 100%, $F$11)</f>
        <v>7.4359999999999999</v>
      </c>
      <c r="I152" s="8">
        <f>6.4811 * CHOOSE(CONTROL!$C$15, $D$11, 100%, $F$11)</f>
        <v>6.4810999999999996</v>
      </c>
      <c r="J152" s="4">
        <f>6.3656 * CHOOSE(CONTROL!$C$15, $D$11, 100%, $F$11)</f>
        <v>6.3655999999999997</v>
      </c>
      <c r="K152" s="4"/>
      <c r="L152" s="9">
        <v>30.092199999999998</v>
      </c>
      <c r="M152" s="9">
        <v>11.6745</v>
      </c>
      <c r="N152" s="9">
        <v>4.7850000000000001</v>
      </c>
      <c r="O152" s="9">
        <v>0.36199999999999999</v>
      </c>
      <c r="P152" s="9">
        <v>1.1791</v>
      </c>
      <c r="Q152" s="9">
        <v>31.035599999999999</v>
      </c>
      <c r="R152" s="9"/>
      <c r="S152" s="11"/>
    </row>
    <row r="153" spans="1:19" ht="15.75">
      <c r="A153" s="13">
        <v>46143</v>
      </c>
      <c r="B153" s="8">
        <f>CHOOSE( CONTROL!$C$32, 6.8428, 6.8373) * CHOOSE(CONTROL!$C$15, $D$11, 100%, $F$11)</f>
        <v>6.8428000000000004</v>
      </c>
      <c r="C153" s="8">
        <f>CHOOSE( CONTROL!$C$32, 6.8509, 6.8454) * CHOOSE(CONTROL!$C$15, $D$11, 100%, $F$11)</f>
        <v>6.8509000000000002</v>
      </c>
      <c r="D153" s="8">
        <f>CHOOSE( CONTROL!$C$32, 6.8769, 6.8713) * CHOOSE( CONTROL!$C$15, $D$11, 100%, $F$11)</f>
        <v>6.8769</v>
      </c>
      <c r="E153" s="12">
        <f>CHOOSE( CONTROL!$C$32, 6.8662, 6.8607) * CHOOSE( CONTROL!$C$15, $D$11, 100%, $F$11)</f>
        <v>6.8662000000000001</v>
      </c>
      <c r="F153" s="4">
        <f>CHOOSE( CONTROL!$C$32, 7.5552, 7.5497) * CHOOSE(CONTROL!$C$15, $D$11, 100%, $F$11)</f>
        <v>7.5552000000000001</v>
      </c>
      <c r="G153" s="8">
        <f>CHOOSE( CONTROL!$C$32, 6.6691, 6.6637) * CHOOSE( CONTROL!$C$15, $D$11, 100%, $F$11)</f>
        <v>6.6691000000000003</v>
      </c>
      <c r="H153" s="4">
        <f>CHOOSE( CONTROL!$C$32, 7.614, 7.6085) * CHOOSE(CONTROL!$C$15, $D$11, 100%, $F$11)</f>
        <v>7.6139999999999999</v>
      </c>
      <c r="I153" s="8">
        <f>CHOOSE( CONTROL!$C$32, 6.6561, 6.6508) * CHOOSE(CONTROL!$C$15, $D$11, 100%, $F$11)</f>
        <v>6.6561000000000003</v>
      </c>
      <c r="J153" s="4">
        <f>CHOOSE( CONTROL!$C$32, 6.5406, 6.5352) * CHOOSE(CONTROL!$C$15, $D$11, 100%, $F$11)</f>
        <v>6.5406000000000004</v>
      </c>
      <c r="K153" s="4"/>
      <c r="L153" s="9">
        <v>30.7165</v>
      </c>
      <c r="M153" s="9">
        <v>12.063700000000001</v>
      </c>
      <c r="N153" s="9">
        <v>4.9444999999999997</v>
      </c>
      <c r="O153" s="9">
        <v>0.37409999999999999</v>
      </c>
      <c r="P153" s="9">
        <v>1.2183999999999999</v>
      </c>
      <c r="Q153" s="9">
        <v>32.070099999999996</v>
      </c>
      <c r="R153" s="9"/>
      <c r="S153" s="11"/>
    </row>
    <row r="154" spans="1:19" ht="15.75">
      <c r="A154" s="13">
        <v>46174</v>
      </c>
      <c r="B154" s="8">
        <f>CHOOSE( CONTROL!$C$32, 6.7334, 6.7278) * CHOOSE(CONTROL!$C$15, $D$11, 100%, $F$11)</f>
        <v>6.7333999999999996</v>
      </c>
      <c r="C154" s="8">
        <f>CHOOSE( CONTROL!$C$32, 6.7415, 6.7359) * CHOOSE(CONTROL!$C$15, $D$11, 100%, $F$11)</f>
        <v>6.7415000000000003</v>
      </c>
      <c r="D154" s="8">
        <f>CHOOSE( CONTROL!$C$32, 6.7676, 6.7621) * CHOOSE( CONTROL!$C$15, $D$11, 100%, $F$11)</f>
        <v>6.7675999999999998</v>
      </c>
      <c r="E154" s="12">
        <f>CHOOSE( CONTROL!$C$32, 6.7569, 6.7514) * CHOOSE( CONTROL!$C$15, $D$11, 100%, $F$11)</f>
        <v>6.7568999999999999</v>
      </c>
      <c r="F154" s="4">
        <f>CHOOSE( CONTROL!$C$32, 7.4458, 7.4402) * CHOOSE(CONTROL!$C$15, $D$11, 100%, $F$11)</f>
        <v>7.4458000000000002</v>
      </c>
      <c r="G154" s="8">
        <f>CHOOSE( CONTROL!$C$32, 6.5625, 6.557) * CHOOSE( CONTROL!$C$15, $D$11, 100%, $F$11)</f>
        <v>6.5625</v>
      </c>
      <c r="H154" s="4">
        <f>CHOOSE( CONTROL!$C$32, 7.5071, 7.5017) * CHOOSE(CONTROL!$C$15, $D$11, 100%, $F$11)</f>
        <v>7.5071000000000003</v>
      </c>
      <c r="I154" s="8">
        <f>CHOOSE( CONTROL!$C$32, 6.5518, 6.5465) * CHOOSE(CONTROL!$C$15, $D$11, 100%, $F$11)</f>
        <v>6.5518000000000001</v>
      </c>
      <c r="J154" s="4">
        <f>CHOOSE( CONTROL!$C$32, 6.4355, 6.4302) * CHOOSE(CONTROL!$C$15, $D$11, 100%, $F$11)</f>
        <v>6.4355000000000002</v>
      </c>
      <c r="K154" s="4"/>
      <c r="L154" s="9">
        <v>29.7257</v>
      </c>
      <c r="M154" s="9">
        <v>11.6745</v>
      </c>
      <c r="N154" s="9">
        <v>4.7850000000000001</v>
      </c>
      <c r="O154" s="9">
        <v>0.36199999999999999</v>
      </c>
      <c r="P154" s="9">
        <v>1.1791</v>
      </c>
      <c r="Q154" s="9">
        <v>31.035599999999999</v>
      </c>
      <c r="R154" s="9"/>
      <c r="S154" s="11"/>
    </row>
    <row r="155" spans="1:19" ht="15.75">
      <c r="A155" s="13">
        <v>46204</v>
      </c>
      <c r="B155" s="8">
        <f>CHOOSE( CONTROL!$C$32, 7.0216, 7.016) * CHOOSE(CONTROL!$C$15, $D$11, 100%, $F$11)</f>
        <v>7.0216000000000003</v>
      </c>
      <c r="C155" s="8">
        <f>CHOOSE( CONTROL!$C$32, 7.0297, 7.0241) * CHOOSE(CONTROL!$C$15, $D$11, 100%, $F$11)</f>
        <v>7.0297000000000001</v>
      </c>
      <c r="D155" s="8">
        <f>CHOOSE( CONTROL!$C$32, 7.056, 7.0504) * CHOOSE( CONTROL!$C$15, $D$11, 100%, $F$11)</f>
        <v>7.056</v>
      </c>
      <c r="E155" s="12">
        <f>CHOOSE( CONTROL!$C$32, 7.0452, 7.0396) * CHOOSE( CONTROL!$C$15, $D$11, 100%, $F$11)</f>
        <v>7.0452000000000004</v>
      </c>
      <c r="F155" s="4">
        <f>CHOOSE( CONTROL!$C$32, 7.734, 7.7284) * CHOOSE(CONTROL!$C$15, $D$11, 100%, $F$11)</f>
        <v>7.734</v>
      </c>
      <c r="G155" s="8">
        <f>CHOOSE( CONTROL!$C$32, 6.8443, 6.8388) * CHOOSE( CONTROL!$C$15, $D$11, 100%, $F$11)</f>
        <v>6.8442999999999996</v>
      </c>
      <c r="H155" s="4">
        <f>CHOOSE( CONTROL!$C$32, 7.7886, 7.7831) * CHOOSE(CONTROL!$C$15, $D$11, 100%, $F$11)</f>
        <v>7.7885999999999997</v>
      </c>
      <c r="I155" s="8">
        <f>CHOOSE( CONTROL!$C$32, 6.8296, 6.8242) * CHOOSE(CONTROL!$C$15, $D$11, 100%, $F$11)</f>
        <v>6.8296000000000001</v>
      </c>
      <c r="J155" s="4">
        <f>CHOOSE( CONTROL!$C$32, 6.7122, 6.7069) * CHOOSE(CONTROL!$C$15, $D$11, 100%, $F$11)</f>
        <v>6.7122000000000002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1.2183999999999999</v>
      </c>
      <c r="Q155" s="9">
        <v>32.070099999999996</v>
      </c>
      <c r="R155" s="9"/>
      <c r="S155" s="11"/>
    </row>
    <row r="156" spans="1:19" ht="15.75">
      <c r="A156" s="13">
        <v>46235</v>
      </c>
      <c r="B156" s="8">
        <f>CHOOSE( CONTROL!$C$32, 6.4824, 6.4768) * CHOOSE(CONTROL!$C$15, $D$11, 100%, $F$11)</f>
        <v>6.4824000000000002</v>
      </c>
      <c r="C156" s="8">
        <f>CHOOSE( CONTROL!$C$32, 6.4904, 6.4849) * CHOOSE(CONTROL!$C$15, $D$11, 100%, $F$11)</f>
        <v>6.4904000000000002</v>
      </c>
      <c r="D156" s="8">
        <f>CHOOSE( CONTROL!$C$32, 6.5168, 6.5113) * CHOOSE( CONTROL!$C$15, $D$11, 100%, $F$11)</f>
        <v>6.5167999999999999</v>
      </c>
      <c r="E156" s="12">
        <f>CHOOSE( CONTROL!$C$32, 6.506, 6.5005) * CHOOSE( CONTROL!$C$15, $D$11, 100%, $F$11)</f>
        <v>6.5060000000000002</v>
      </c>
      <c r="F156" s="4">
        <f>CHOOSE( CONTROL!$C$32, 7.1947, 7.1892) * CHOOSE(CONTROL!$C$15, $D$11, 100%, $F$11)</f>
        <v>7.1947000000000001</v>
      </c>
      <c r="G156" s="8">
        <f>CHOOSE( CONTROL!$C$32, 6.3177, 6.3122) * CHOOSE( CONTROL!$C$15, $D$11, 100%, $F$11)</f>
        <v>6.3177000000000003</v>
      </c>
      <c r="H156" s="4">
        <f>CHOOSE( CONTROL!$C$32, 7.2619, 7.2565) * CHOOSE(CONTROL!$C$15, $D$11, 100%, $F$11)</f>
        <v>7.2618999999999998</v>
      </c>
      <c r="I156" s="8">
        <f>CHOOSE( CONTROL!$C$32, 6.3119, 6.3065) * CHOOSE(CONTROL!$C$15, $D$11, 100%, $F$11)</f>
        <v>6.3118999999999996</v>
      </c>
      <c r="J156" s="4">
        <f>CHOOSE( CONTROL!$C$32, 6.1945, 6.1891) * CHOOSE(CONTROL!$C$15, $D$11, 100%, $F$11)</f>
        <v>6.1944999999999997</v>
      </c>
      <c r="K156" s="4"/>
      <c r="L156" s="9">
        <v>30.7165</v>
      </c>
      <c r="M156" s="9">
        <v>12.063700000000001</v>
      </c>
      <c r="N156" s="9">
        <v>4.9444999999999997</v>
      </c>
      <c r="O156" s="9">
        <v>0.37409999999999999</v>
      </c>
      <c r="P156" s="9">
        <v>1.2183999999999999</v>
      </c>
      <c r="Q156" s="9">
        <v>32.070099999999996</v>
      </c>
      <c r="R156" s="9"/>
      <c r="S156" s="11"/>
    </row>
    <row r="157" spans="1:19" ht="15.75">
      <c r="A157" s="13">
        <v>46266</v>
      </c>
      <c r="B157" s="8">
        <f>CHOOSE( CONTROL!$C$32, 6.3473, 6.3418) * CHOOSE(CONTROL!$C$15, $D$11, 100%, $F$11)</f>
        <v>6.3472999999999997</v>
      </c>
      <c r="C157" s="8">
        <f>CHOOSE( CONTROL!$C$32, 6.3554, 6.3498) * CHOOSE(CONTROL!$C$15, $D$11, 100%, $F$11)</f>
        <v>6.3554000000000004</v>
      </c>
      <c r="D157" s="8">
        <f>CHOOSE( CONTROL!$C$32, 6.3818, 6.3762) * CHOOSE( CONTROL!$C$15, $D$11, 100%, $F$11)</f>
        <v>6.3818000000000001</v>
      </c>
      <c r="E157" s="12">
        <f>CHOOSE( CONTROL!$C$32, 6.371, 6.3654) * CHOOSE( CONTROL!$C$15, $D$11, 100%, $F$11)</f>
        <v>6.3710000000000004</v>
      </c>
      <c r="F157" s="4">
        <f>CHOOSE( CONTROL!$C$32, 7.0597, 7.0541) * CHOOSE(CONTROL!$C$15, $D$11, 100%, $F$11)</f>
        <v>7.0597000000000003</v>
      </c>
      <c r="G157" s="8">
        <f>CHOOSE( CONTROL!$C$32, 6.1857, 6.1803) * CHOOSE( CONTROL!$C$15, $D$11, 100%, $F$11)</f>
        <v>6.1856999999999998</v>
      </c>
      <c r="H157" s="4">
        <f>CHOOSE( CONTROL!$C$32, 7.13, 7.1246) * CHOOSE(CONTROL!$C$15, $D$11, 100%, $F$11)</f>
        <v>7.13</v>
      </c>
      <c r="I157" s="8">
        <f>CHOOSE( CONTROL!$C$32, 6.182, 6.1766) * CHOOSE(CONTROL!$C$15, $D$11, 100%, $F$11)</f>
        <v>6.1820000000000004</v>
      </c>
      <c r="J157" s="4">
        <f>CHOOSE( CONTROL!$C$32, 6.0648, 6.0595) * CHOOSE(CONTROL!$C$15, $D$11, 100%, $F$11)</f>
        <v>6.0648</v>
      </c>
      <c r="K157" s="4"/>
      <c r="L157" s="9">
        <v>29.7257</v>
      </c>
      <c r="M157" s="9">
        <v>11.6745</v>
      </c>
      <c r="N157" s="9">
        <v>4.7850000000000001</v>
      </c>
      <c r="O157" s="9">
        <v>0.36199999999999999</v>
      </c>
      <c r="P157" s="9">
        <v>1.1791</v>
      </c>
      <c r="Q157" s="9">
        <v>31.035599999999999</v>
      </c>
      <c r="R157" s="9"/>
      <c r="S157" s="11"/>
    </row>
    <row r="158" spans="1:19" ht="15.75">
      <c r="A158" s="13">
        <v>46296</v>
      </c>
      <c r="B158" s="8">
        <f>6.6204 * CHOOSE(CONTROL!$C$15, $D$11, 100%, $F$11)</f>
        <v>6.6204000000000001</v>
      </c>
      <c r="C158" s="8">
        <f>6.6258 * CHOOSE(CONTROL!$C$15, $D$11, 100%, $F$11)</f>
        <v>6.6257999999999999</v>
      </c>
      <c r="D158" s="8">
        <f>6.657 * CHOOSE( CONTROL!$C$15, $D$11, 100%, $F$11)</f>
        <v>6.657</v>
      </c>
      <c r="E158" s="12">
        <f>6.6461 * CHOOSE( CONTROL!$C$15, $D$11, 100%, $F$11)</f>
        <v>6.6460999999999997</v>
      </c>
      <c r="F158" s="4">
        <f>7.3345 * CHOOSE(CONTROL!$C$15, $D$11, 100%, $F$11)</f>
        <v>7.3345000000000002</v>
      </c>
      <c r="G158" s="8">
        <f>6.4532 * CHOOSE( CONTROL!$C$15, $D$11, 100%, $F$11)</f>
        <v>6.4531999999999998</v>
      </c>
      <c r="H158" s="4">
        <f>7.3984 * CHOOSE(CONTROL!$C$15, $D$11, 100%, $F$11)</f>
        <v>7.3983999999999996</v>
      </c>
      <c r="I158" s="8">
        <f>6.4468 * CHOOSE(CONTROL!$C$15, $D$11, 100%, $F$11)</f>
        <v>6.4467999999999996</v>
      </c>
      <c r="J158" s="4">
        <f>6.3287 * CHOOSE(CONTROL!$C$15, $D$11, 100%, $F$11)</f>
        <v>6.3287000000000004</v>
      </c>
      <c r="K158" s="4"/>
      <c r="L158" s="9">
        <v>31.095300000000002</v>
      </c>
      <c r="M158" s="9">
        <v>12.063700000000001</v>
      </c>
      <c r="N158" s="9">
        <v>4.9444999999999997</v>
      </c>
      <c r="O158" s="9">
        <v>0.37409999999999999</v>
      </c>
      <c r="P158" s="9">
        <v>1.2183999999999999</v>
      </c>
      <c r="Q158" s="9">
        <v>32.070099999999996</v>
      </c>
      <c r="R158" s="9"/>
      <c r="S158" s="11"/>
    </row>
    <row r="159" spans="1:19" ht="15.75">
      <c r="A159" s="13">
        <v>46327</v>
      </c>
      <c r="B159" s="8">
        <f>7.1375 * CHOOSE(CONTROL!$C$15, $D$11, 100%, $F$11)</f>
        <v>7.1375000000000002</v>
      </c>
      <c r="C159" s="8">
        <f>7.1427 * CHOOSE(CONTROL!$C$15, $D$11, 100%, $F$11)</f>
        <v>7.1426999999999996</v>
      </c>
      <c r="D159" s="8">
        <f>7.1289 * CHOOSE( CONTROL!$C$15, $D$11, 100%, $F$11)</f>
        <v>7.1288999999999998</v>
      </c>
      <c r="E159" s="12">
        <f>7.1334 * CHOOSE( CONTROL!$C$15, $D$11, 100%, $F$11)</f>
        <v>7.1334</v>
      </c>
      <c r="F159" s="4">
        <f>7.788 * CHOOSE(CONTROL!$C$15, $D$11, 100%, $F$11)</f>
        <v>7.7880000000000003</v>
      </c>
      <c r="G159" s="8">
        <f>6.9663 * CHOOSE( CONTROL!$C$15, $D$11, 100%, $F$11)</f>
        <v>6.9663000000000004</v>
      </c>
      <c r="H159" s="4">
        <f>7.8413 * CHOOSE(CONTROL!$C$15, $D$11, 100%, $F$11)</f>
        <v>7.8413000000000004</v>
      </c>
      <c r="I159" s="8">
        <f>6.9875 * CHOOSE(CONTROL!$C$15, $D$11, 100%, $F$11)</f>
        <v>6.9874999999999998</v>
      </c>
      <c r="J159" s="4">
        <f>6.8255 * CHOOSE(CONTROL!$C$15, $D$11, 100%, $F$11)</f>
        <v>6.8254999999999999</v>
      </c>
      <c r="K159" s="4"/>
      <c r="L159" s="9">
        <v>28.360600000000002</v>
      </c>
      <c r="M159" s="9">
        <v>11.6745</v>
      </c>
      <c r="N159" s="9">
        <v>4.7850000000000001</v>
      </c>
      <c r="O159" s="9">
        <v>0.36199999999999999</v>
      </c>
      <c r="P159" s="9">
        <v>1.2509999999999999</v>
      </c>
      <c r="Q159" s="9">
        <v>31.035599999999999</v>
      </c>
      <c r="R159" s="9"/>
      <c r="S159" s="11"/>
    </row>
    <row r="160" spans="1:19" ht="15.75">
      <c r="A160" s="13">
        <v>46357</v>
      </c>
      <c r="B160" s="8">
        <f>7.1246 * CHOOSE(CONTROL!$C$15, $D$11, 100%, $F$11)</f>
        <v>7.1246</v>
      </c>
      <c r="C160" s="8">
        <f>7.1298 * CHOOSE(CONTROL!$C$15, $D$11, 100%, $F$11)</f>
        <v>7.1298000000000004</v>
      </c>
      <c r="D160" s="8">
        <f>7.1175 * CHOOSE( CONTROL!$C$15, $D$11, 100%, $F$11)</f>
        <v>7.1174999999999997</v>
      </c>
      <c r="E160" s="12">
        <f>7.1214 * CHOOSE( CONTROL!$C$15, $D$11, 100%, $F$11)</f>
        <v>7.1214000000000004</v>
      </c>
      <c r="F160" s="4">
        <f>7.775 * CHOOSE(CONTROL!$C$15, $D$11, 100%, $F$11)</f>
        <v>7.7750000000000004</v>
      </c>
      <c r="G160" s="8">
        <f>6.9548 * CHOOSE( CONTROL!$C$15, $D$11, 100%, $F$11)</f>
        <v>6.9547999999999996</v>
      </c>
      <c r="H160" s="4">
        <f>7.8287 * CHOOSE(CONTROL!$C$15, $D$11, 100%, $F$11)</f>
        <v>7.8287000000000004</v>
      </c>
      <c r="I160" s="8">
        <f>6.9799 * CHOOSE(CONTROL!$C$15, $D$11, 100%, $F$11)</f>
        <v>6.9798999999999998</v>
      </c>
      <c r="J160" s="4">
        <f>6.8131 * CHOOSE(CONTROL!$C$15, $D$11, 100%, $F$11)</f>
        <v>6.8131000000000004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32.070099999999996</v>
      </c>
      <c r="R160" s="9"/>
      <c r="S160" s="11"/>
    </row>
    <row r="161" spans="1:19" ht="15.75">
      <c r="A161" s="13">
        <v>46388</v>
      </c>
      <c r="B161" s="8">
        <f>7.3787 * CHOOSE(CONTROL!$C$15, $D$11, 100%, $F$11)</f>
        <v>7.3787000000000003</v>
      </c>
      <c r="C161" s="8">
        <f>7.3838 * CHOOSE(CONTROL!$C$15, $D$11, 100%, $F$11)</f>
        <v>7.3837999999999999</v>
      </c>
      <c r="D161" s="8">
        <f>7.3663 * CHOOSE( CONTROL!$C$15, $D$11, 100%, $F$11)</f>
        <v>7.3662999999999998</v>
      </c>
      <c r="E161" s="12">
        <f>7.3722 * CHOOSE( CONTROL!$C$15, $D$11, 100%, $F$11)</f>
        <v>7.3722000000000003</v>
      </c>
      <c r="F161" s="4">
        <f>8.0291 * CHOOSE(CONTROL!$C$15, $D$11, 100%, $F$11)</f>
        <v>8.0290999999999997</v>
      </c>
      <c r="G161" s="8">
        <f>7.1929 * CHOOSE( CONTROL!$C$15, $D$11, 100%, $F$11)</f>
        <v>7.1928999999999998</v>
      </c>
      <c r="H161" s="4">
        <f>8.0768 * CHOOSE(CONTROL!$C$15, $D$11, 100%, $F$11)</f>
        <v>8.0768000000000004</v>
      </c>
      <c r="I161" s="8">
        <f>7.1838 * CHOOSE(CONTROL!$C$15, $D$11, 100%, $F$11)</f>
        <v>7.1837999999999997</v>
      </c>
      <c r="J161" s="4">
        <f>7.0571 * CHOOSE(CONTROL!$C$15, $D$11, 100%, $F$11)</f>
        <v>7.0571000000000002</v>
      </c>
      <c r="K161" s="4"/>
      <c r="L161" s="9">
        <v>29.306000000000001</v>
      </c>
      <c r="M161" s="9">
        <v>12.063700000000001</v>
      </c>
      <c r="N161" s="9">
        <v>4.9444999999999997</v>
      </c>
      <c r="O161" s="9">
        <v>0.37409999999999999</v>
      </c>
      <c r="P161" s="9">
        <v>1.2927</v>
      </c>
      <c r="Q161" s="9">
        <v>31.885999999999999</v>
      </c>
      <c r="R161" s="9"/>
      <c r="S161" s="11"/>
    </row>
    <row r="162" spans="1:19" ht="15.75">
      <c r="A162" s="13">
        <v>46419</v>
      </c>
      <c r="B162" s="8">
        <f>6.9035 * CHOOSE(CONTROL!$C$15, $D$11, 100%, $F$11)</f>
        <v>6.9035000000000002</v>
      </c>
      <c r="C162" s="8">
        <f>6.9087 * CHOOSE(CONTROL!$C$15, $D$11, 100%, $F$11)</f>
        <v>6.9086999999999996</v>
      </c>
      <c r="D162" s="8">
        <f>6.891 * CHOOSE( CONTROL!$C$15, $D$11, 100%, $F$11)</f>
        <v>6.891</v>
      </c>
      <c r="E162" s="12">
        <f>6.8969 * CHOOSE( CONTROL!$C$15, $D$11, 100%, $F$11)</f>
        <v>6.8968999999999996</v>
      </c>
      <c r="F162" s="4">
        <f>7.5539 * CHOOSE(CONTROL!$C$15, $D$11, 100%, $F$11)</f>
        <v>7.5538999999999996</v>
      </c>
      <c r="G162" s="8">
        <f>6.7287 * CHOOSE( CONTROL!$C$15, $D$11, 100%, $F$11)</f>
        <v>6.7286999999999999</v>
      </c>
      <c r="H162" s="4">
        <f>7.6127 * CHOOSE(CONTROL!$C$15, $D$11, 100%, $F$11)</f>
        <v>7.6127000000000002</v>
      </c>
      <c r="I162" s="8">
        <f>6.7271 * CHOOSE(CONTROL!$C$15, $D$11, 100%, $F$11)</f>
        <v>6.7271000000000001</v>
      </c>
      <c r="J162" s="4">
        <f>6.6008 * CHOOSE(CONTROL!$C$15, $D$11, 100%, $F$11)</f>
        <v>6.6007999999999996</v>
      </c>
      <c r="K162" s="4"/>
      <c r="L162" s="9">
        <v>26.469899999999999</v>
      </c>
      <c r="M162" s="9">
        <v>10.8962</v>
      </c>
      <c r="N162" s="9">
        <v>4.4660000000000002</v>
      </c>
      <c r="O162" s="9">
        <v>0.33789999999999998</v>
      </c>
      <c r="P162" s="9">
        <v>1.1676</v>
      </c>
      <c r="Q162" s="9">
        <v>28.8002</v>
      </c>
      <c r="R162" s="9"/>
      <c r="S162" s="11"/>
    </row>
    <row r="163" spans="1:19" ht="15.75">
      <c r="A163" s="13">
        <v>46447</v>
      </c>
      <c r="B163" s="8">
        <f>6.7571 * CHOOSE(CONTROL!$C$15, $D$11, 100%, $F$11)</f>
        <v>6.7571000000000003</v>
      </c>
      <c r="C163" s="8">
        <f>6.7623 * CHOOSE(CONTROL!$C$15, $D$11, 100%, $F$11)</f>
        <v>6.7622999999999998</v>
      </c>
      <c r="D163" s="8">
        <f>6.7443 * CHOOSE( CONTROL!$C$15, $D$11, 100%, $F$11)</f>
        <v>6.7443</v>
      </c>
      <c r="E163" s="12">
        <f>6.7503 * CHOOSE( CONTROL!$C$15, $D$11, 100%, $F$11)</f>
        <v>6.7503000000000002</v>
      </c>
      <c r="F163" s="4">
        <f>7.4076 * CHOOSE(CONTROL!$C$15, $D$11, 100%, $F$11)</f>
        <v>7.4076000000000004</v>
      </c>
      <c r="G163" s="8">
        <f>6.5855 * CHOOSE( CONTROL!$C$15, $D$11, 100%, $F$11)</f>
        <v>6.5854999999999997</v>
      </c>
      <c r="H163" s="4">
        <f>7.4698 * CHOOSE(CONTROL!$C$15, $D$11, 100%, $F$11)</f>
        <v>7.4698000000000002</v>
      </c>
      <c r="I163" s="8">
        <f>6.5854 * CHOOSE(CONTROL!$C$15, $D$11, 100%, $F$11)</f>
        <v>6.5853999999999999</v>
      </c>
      <c r="J163" s="4">
        <f>6.4603 * CHOOSE(CONTROL!$C$15, $D$11, 100%, $F$11)</f>
        <v>6.4603000000000002</v>
      </c>
      <c r="K163" s="4"/>
      <c r="L163" s="9">
        <v>29.306000000000001</v>
      </c>
      <c r="M163" s="9">
        <v>12.063700000000001</v>
      </c>
      <c r="N163" s="9">
        <v>4.9444999999999997</v>
      </c>
      <c r="O163" s="9">
        <v>0.37409999999999999</v>
      </c>
      <c r="P163" s="9">
        <v>1.2927</v>
      </c>
      <c r="Q163" s="9">
        <v>31.885999999999999</v>
      </c>
      <c r="R163" s="9"/>
      <c r="S163" s="11"/>
    </row>
    <row r="164" spans="1:19" ht="15.75">
      <c r="A164" s="13">
        <v>46478</v>
      </c>
      <c r="B164" s="8">
        <f>6.8601 * CHOOSE(CONTROL!$C$15, $D$11, 100%, $F$11)</f>
        <v>6.8601000000000001</v>
      </c>
      <c r="C164" s="8">
        <f>6.8648 * CHOOSE(CONTROL!$C$15, $D$11, 100%, $F$11)</f>
        <v>6.8647999999999998</v>
      </c>
      <c r="D164" s="8">
        <f>6.8959 * CHOOSE( CONTROL!$C$15, $D$11, 100%, $F$11)</f>
        <v>6.8959000000000001</v>
      </c>
      <c r="E164" s="12">
        <f>6.8851 * CHOOSE( CONTROL!$C$15, $D$11, 100%, $F$11)</f>
        <v>6.8851000000000004</v>
      </c>
      <c r="F164" s="4">
        <f>7.5739 * CHOOSE(CONTROL!$C$15, $D$11, 100%, $F$11)</f>
        <v>7.5739000000000001</v>
      </c>
      <c r="G164" s="8">
        <f>6.6862 * CHOOSE( CONTROL!$C$15, $D$11, 100%, $F$11)</f>
        <v>6.6862000000000004</v>
      </c>
      <c r="H164" s="4">
        <f>7.6322 * CHOOSE(CONTROL!$C$15, $D$11, 100%, $F$11)</f>
        <v>7.6322000000000001</v>
      </c>
      <c r="I164" s="8">
        <f>6.6741 * CHOOSE(CONTROL!$C$15, $D$11, 100%, $F$11)</f>
        <v>6.6741000000000001</v>
      </c>
      <c r="J164" s="4">
        <f>6.5585 * CHOOSE(CONTROL!$C$15, $D$11, 100%, $F$11)</f>
        <v>6.5585000000000004</v>
      </c>
      <c r="K164" s="4"/>
      <c r="L164" s="9">
        <v>30.092199999999998</v>
      </c>
      <c r="M164" s="9">
        <v>11.6745</v>
      </c>
      <c r="N164" s="9">
        <v>4.7850000000000001</v>
      </c>
      <c r="O164" s="9">
        <v>0.36199999999999999</v>
      </c>
      <c r="P164" s="9">
        <v>1.1791</v>
      </c>
      <c r="Q164" s="9">
        <v>30.857399999999998</v>
      </c>
      <c r="R164" s="9"/>
      <c r="S164" s="11"/>
    </row>
    <row r="165" spans="1:19" ht="15.75">
      <c r="A165" s="13">
        <v>46508</v>
      </c>
      <c r="B165" s="8">
        <f>CHOOSE( CONTROL!$C$32, 7.0491, 7.0435) * CHOOSE(CONTROL!$C$15, $D$11, 100%, $F$11)</f>
        <v>7.0491000000000001</v>
      </c>
      <c r="C165" s="8">
        <f>CHOOSE( CONTROL!$C$32, 7.0572, 7.0516) * CHOOSE(CONTROL!$C$15, $D$11, 100%, $F$11)</f>
        <v>7.0571999999999999</v>
      </c>
      <c r="D165" s="8">
        <f>CHOOSE( CONTROL!$C$32, 7.0832, 7.0776) * CHOOSE( CONTROL!$C$15, $D$11, 100%, $F$11)</f>
        <v>7.0831999999999997</v>
      </c>
      <c r="E165" s="12">
        <f>CHOOSE( CONTROL!$C$32, 7.0725, 7.0669) * CHOOSE( CONTROL!$C$15, $D$11, 100%, $F$11)</f>
        <v>7.0724999999999998</v>
      </c>
      <c r="F165" s="4">
        <f>CHOOSE( CONTROL!$C$32, 7.7615, 7.7559) * CHOOSE(CONTROL!$C$15, $D$11, 100%, $F$11)</f>
        <v>7.7614999999999998</v>
      </c>
      <c r="G165" s="8">
        <f>CHOOSE( CONTROL!$C$32, 6.8706, 6.8651) * CHOOSE( CONTROL!$C$15, $D$11, 100%, $F$11)</f>
        <v>6.8705999999999996</v>
      </c>
      <c r="H165" s="4">
        <f>CHOOSE( CONTROL!$C$32, 7.8154, 7.81) * CHOOSE(CONTROL!$C$15, $D$11, 100%, $F$11)</f>
        <v>7.8154000000000003</v>
      </c>
      <c r="I165" s="8">
        <f>CHOOSE( CONTROL!$C$32, 6.8543, 6.8489) * CHOOSE(CONTROL!$C$15, $D$11, 100%, $F$11)</f>
        <v>6.8543000000000003</v>
      </c>
      <c r="J165" s="4">
        <f>CHOOSE( CONTROL!$C$32, 6.7386, 6.7333) * CHOOSE(CONTROL!$C$15, $D$11, 100%, $F$11)</f>
        <v>6.7385999999999999</v>
      </c>
      <c r="K165" s="4"/>
      <c r="L165" s="9">
        <v>30.7165</v>
      </c>
      <c r="M165" s="9">
        <v>12.063700000000001</v>
      </c>
      <c r="N165" s="9">
        <v>4.9444999999999997</v>
      </c>
      <c r="O165" s="9">
        <v>0.37409999999999999</v>
      </c>
      <c r="P165" s="9">
        <v>1.2183999999999999</v>
      </c>
      <c r="Q165" s="9">
        <v>31.885999999999999</v>
      </c>
      <c r="R165" s="9"/>
      <c r="S165" s="11"/>
    </row>
    <row r="166" spans="1:19" ht="15.75">
      <c r="A166" s="13">
        <v>46539</v>
      </c>
      <c r="B166" s="8">
        <f>CHOOSE( CONTROL!$C$32, 6.9363, 6.9308) * CHOOSE(CONTROL!$C$15, $D$11, 100%, $F$11)</f>
        <v>6.9363000000000001</v>
      </c>
      <c r="C166" s="8">
        <f>CHOOSE( CONTROL!$C$32, 6.9444, 6.9389) * CHOOSE(CONTROL!$C$15, $D$11, 100%, $F$11)</f>
        <v>6.9443999999999999</v>
      </c>
      <c r="D166" s="8">
        <f>CHOOSE( CONTROL!$C$32, 6.9706, 6.965) * CHOOSE( CONTROL!$C$15, $D$11, 100%, $F$11)</f>
        <v>6.9706000000000001</v>
      </c>
      <c r="E166" s="12">
        <f>CHOOSE( CONTROL!$C$32, 6.9599, 6.9543) * CHOOSE( CONTROL!$C$15, $D$11, 100%, $F$11)</f>
        <v>6.9599000000000002</v>
      </c>
      <c r="F166" s="4">
        <f>CHOOSE( CONTROL!$C$32, 7.6487, 7.6432) * CHOOSE(CONTROL!$C$15, $D$11, 100%, $F$11)</f>
        <v>7.6486999999999998</v>
      </c>
      <c r="G166" s="8">
        <f>CHOOSE( CONTROL!$C$32, 6.7607, 6.7553) * CHOOSE( CONTROL!$C$15, $D$11, 100%, $F$11)</f>
        <v>6.7606999999999999</v>
      </c>
      <c r="H166" s="4">
        <f>CHOOSE( CONTROL!$C$32, 7.7053, 7.6999) * CHOOSE(CONTROL!$C$15, $D$11, 100%, $F$11)</f>
        <v>7.7053000000000003</v>
      </c>
      <c r="I166" s="8">
        <f>CHOOSE( CONTROL!$C$32, 6.7468, 6.7414) * CHOOSE(CONTROL!$C$15, $D$11, 100%, $F$11)</f>
        <v>6.7468000000000004</v>
      </c>
      <c r="J166" s="4">
        <f>CHOOSE( CONTROL!$C$32, 6.6304, 6.625) * CHOOSE(CONTROL!$C$15, $D$11, 100%, $F$11)</f>
        <v>6.6303999999999998</v>
      </c>
      <c r="K166" s="4"/>
      <c r="L166" s="9">
        <v>29.7257</v>
      </c>
      <c r="M166" s="9">
        <v>11.6745</v>
      </c>
      <c r="N166" s="9">
        <v>4.7850000000000001</v>
      </c>
      <c r="O166" s="9">
        <v>0.36199999999999999</v>
      </c>
      <c r="P166" s="9">
        <v>1.1791</v>
      </c>
      <c r="Q166" s="9">
        <v>30.857399999999998</v>
      </c>
      <c r="R166" s="9"/>
      <c r="S166" s="11"/>
    </row>
    <row r="167" spans="1:19" ht="15.75">
      <c r="A167" s="13">
        <v>46569</v>
      </c>
      <c r="B167" s="8">
        <f>CHOOSE( CONTROL!$C$32, 7.2333, 7.2277) * CHOOSE(CONTROL!$C$15, $D$11, 100%, $F$11)</f>
        <v>7.2332999999999998</v>
      </c>
      <c r="C167" s="8">
        <f>CHOOSE( CONTROL!$C$32, 7.2414, 7.2358) * CHOOSE(CONTROL!$C$15, $D$11, 100%, $F$11)</f>
        <v>7.2413999999999996</v>
      </c>
      <c r="D167" s="8">
        <f>CHOOSE( CONTROL!$C$32, 7.2677, 7.2621) * CHOOSE( CONTROL!$C$15, $D$11, 100%, $F$11)</f>
        <v>7.2676999999999996</v>
      </c>
      <c r="E167" s="12">
        <f>CHOOSE( CONTROL!$C$32, 7.2569, 7.2513) * CHOOSE( CONTROL!$C$15, $D$11, 100%, $F$11)</f>
        <v>7.2568999999999999</v>
      </c>
      <c r="F167" s="4">
        <f>CHOOSE( CONTROL!$C$32, 7.9457, 7.9401) * CHOOSE(CONTROL!$C$15, $D$11, 100%, $F$11)</f>
        <v>7.9457000000000004</v>
      </c>
      <c r="G167" s="8">
        <f>CHOOSE( CONTROL!$C$32, 7.051, 7.0456) * CHOOSE( CONTROL!$C$15, $D$11, 100%, $F$11)</f>
        <v>7.0510000000000002</v>
      </c>
      <c r="H167" s="4">
        <f>CHOOSE( CONTROL!$C$32, 7.9953, 7.9899) * CHOOSE(CONTROL!$C$15, $D$11, 100%, $F$11)</f>
        <v>7.9953000000000003</v>
      </c>
      <c r="I167" s="8">
        <f>CHOOSE( CONTROL!$C$32, 7.0329, 7.0276) * CHOOSE(CONTROL!$C$15, $D$11, 100%, $F$11)</f>
        <v>7.0328999999999997</v>
      </c>
      <c r="J167" s="4">
        <f>CHOOSE( CONTROL!$C$32, 6.9154, 6.9101) * CHOOSE(CONTROL!$C$15, $D$11, 100%, $F$11)</f>
        <v>6.9154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1.2183999999999999</v>
      </c>
      <c r="Q167" s="9">
        <v>31.885999999999999</v>
      </c>
      <c r="R167" s="9"/>
      <c r="S167" s="11"/>
    </row>
    <row r="168" spans="1:19" ht="15.75">
      <c r="A168" s="13">
        <v>46600</v>
      </c>
      <c r="B168" s="8">
        <f>CHOOSE( CONTROL!$C$32, 6.6777, 6.6721) * CHOOSE(CONTROL!$C$15, $D$11, 100%, $F$11)</f>
        <v>6.6776999999999997</v>
      </c>
      <c r="C168" s="8">
        <f>CHOOSE( CONTROL!$C$32, 6.6858, 6.6802) * CHOOSE(CONTROL!$C$15, $D$11, 100%, $F$11)</f>
        <v>6.6858000000000004</v>
      </c>
      <c r="D168" s="8">
        <f>CHOOSE( CONTROL!$C$32, 6.7122, 6.7066) * CHOOSE( CONTROL!$C$15, $D$11, 100%, $F$11)</f>
        <v>6.7122000000000002</v>
      </c>
      <c r="E168" s="12">
        <f>CHOOSE( CONTROL!$C$32, 6.7014, 6.6958) * CHOOSE( CONTROL!$C$15, $D$11, 100%, $F$11)</f>
        <v>6.7013999999999996</v>
      </c>
      <c r="F168" s="4">
        <f>CHOOSE( CONTROL!$C$32, 7.3901, 7.3845) * CHOOSE(CONTROL!$C$15, $D$11, 100%, $F$11)</f>
        <v>7.3901000000000003</v>
      </c>
      <c r="G168" s="8">
        <f>CHOOSE( CONTROL!$C$32, 6.5085, 6.503) * CHOOSE( CONTROL!$C$15, $D$11, 100%, $F$11)</f>
        <v>6.5084999999999997</v>
      </c>
      <c r="H168" s="4">
        <f>CHOOSE( CONTROL!$C$32, 7.4527, 7.4472) * CHOOSE(CONTROL!$C$15, $D$11, 100%, $F$11)</f>
        <v>7.4527000000000001</v>
      </c>
      <c r="I168" s="8">
        <f>CHOOSE( CONTROL!$C$32, 6.4995, 6.4942) * CHOOSE(CONTROL!$C$15, $D$11, 100%, $F$11)</f>
        <v>6.4995000000000003</v>
      </c>
      <c r="J168" s="4">
        <f>CHOOSE( CONTROL!$C$32, 6.382, 6.3767) * CHOOSE(CONTROL!$C$15, $D$11, 100%, $F$11)</f>
        <v>6.3819999999999997</v>
      </c>
      <c r="K168" s="4"/>
      <c r="L168" s="9">
        <v>30.7165</v>
      </c>
      <c r="M168" s="9">
        <v>12.063700000000001</v>
      </c>
      <c r="N168" s="9">
        <v>4.9444999999999997</v>
      </c>
      <c r="O168" s="9">
        <v>0.37409999999999999</v>
      </c>
      <c r="P168" s="9">
        <v>1.2183999999999999</v>
      </c>
      <c r="Q168" s="9">
        <v>31.885999999999999</v>
      </c>
      <c r="R168" s="9"/>
      <c r="S168" s="11"/>
    </row>
    <row r="169" spans="1:19" ht="15.75">
      <c r="A169" s="13">
        <v>46631</v>
      </c>
      <c r="B169" s="8">
        <f>CHOOSE( CONTROL!$C$32, 6.5386, 6.533) * CHOOSE(CONTROL!$C$15, $D$11, 100%, $F$11)</f>
        <v>6.5385999999999997</v>
      </c>
      <c r="C169" s="8">
        <f>CHOOSE( CONTROL!$C$32, 6.5467, 6.5411) * CHOOSE(CONTROL!$C$15, $D$11, 100%, $F$11)</f>
        <v>6.5467000000000004</v>
      </c>
      <c r="D169" s="8">
        <f>CHOOSE( CONTROL!$C$32, 6.573, 6.5674) * CHOOSE( CONTROL!$C$15, $D$11, 100%, $F$11)</f>
        <v>6.5730000000000004</v>
      </c>
      <c r="E169" s="12">
        <f>CHOOSE( CONTROL!$C$32, 6.5622, 6.5566) * CHOOSE( CONTROL!$C$15, $D$11, 100%, $F$11)</f>
        <v>6.5621999999999998</v>
      </c>
      <c r="F169" s="4">
        <f>CHOOSE( CONTROL!$C$32, 7.251, 7.2454) * CHOOSE(CONTROL!$C$15, $D$11, 100%, $F$11)</f>
        <v>7.2510000000000003</v>
      </c>
      <c r="G169" s="8">
        <f>CHOOSE( CONTROL!$C$32, 6.3725, 6.3671) * CHOOSE( CONTROL!$C$15, $D$11, 100%, $F$11)</f>
        <v>6.3724999999999996</v>
      </c>
      <c r="H169" s="4">
        <f>CHOOSE( CONTROL!$C$32, 7.3168, 7.3114) * CHOOSE(CONTROL!$C$15, $D$11, 100%, $F$11)</f>
        <v>7.3167999999999997</v>
      </c>
      <c r="I169" s="8">
        <f>CHOOSE( CONTROL!$C$32, 6.3657, 6.3603) * CHOOSE(CONTROL!$C$15, $D$11, 100%, $F$11)</f>
        <v>6.3657000000000004</v>
      </c>
      <c r="J169" s="4">
        <f>CHOOSE( CONTROL!$C$32, 6.2485, 6.2431) * CHOOSE(CONTROL!$C$15, $D$11, 100%, $F$11)</f>
        <v>6.2484999999999999</v>
      </c>
      <c r="K169" s="4"/>
      <c r="L169" s="9">
        <v>29.7257</v>
      </c>
      <c r="M169" s="9">
        <v>11.6745</v>
      </c>
      <c r="N169" s="9">
        <v>4.7850000000000001</v>
      </c>
      <c r="O169" s="9">
        <v>0.36199999999999999</v>
      </c>
      <c r="P169" s="9">
        <v>1.1791</v>
      </c>
      <c r="Q169" s="9">
        <v>30.857399999999998</v>
      </c>
      <c r="R169" s="9"/>
      <c r="S169" s="11"/>
    </row>
    <row r="170" spans="1:19" ht="15.75">
      <c r="A170" s="13">
        <v>46661</v>
      </c>
      <c r="B170" s="8">
        <f>6.8201 * CHOOSE(CONTROL!$C$15, $D$11, 100%, $F$11)</f>
        <v>6.8201000000000001</v>
      </c>
      <c r="C170" s="8">
        <f>6.8256 * CHOOSE(CONTROL!$C$15, $D$11, 100%, $F$11)</f>
        <v>6.8255999999999997</v>
      </c>
      <c r="D170" s="8">
        <f>6.8568 * CHOOSE( CONTROL!$C$15, $D$11, 100%, $F$11)</f>
        <v>6.8567999999999998</v>
      </c>
      <c r="E170" s="12">
        <f>6.8459 * CHOOSE( CONTROL!$C$15, $D$11, 100%, $F$11)</f>
        <v>6.8459000000000003</v>
      </c>
      <c r="F170" s="4">
        <f>7.5343 * CHOOSE(CONTROL!$C$15, $D$11, 100%, $F$11)</f>
        <v>7.5343</v>
      </c>
      <c r="G170" s="8">
        <f>6.6483 * CHOOSE( CONTROL!$C$15, $D$11, 100%, $F$11)</f>
        <v>6.6482999999999999</v>
      </c>
      <c r="H170" s="4">
        <f>7.5935 * CHOOSE(CONTROL!$C$15, $D$11, 100%, $F$11)</f>
        <v>7.5934999999999997</v>
      </c>
      <c r="I170" s="8">
        <f>6.6387 * CHOOSE(CONTROL!$C$15, $D$11, 100%, $F$11)</f>
        <v>6.6387</v>
      </c>
      <c r="J170" s="4">
        <f>6.5205 * CHOOSE(CONTROL!$C$15, $D$11, 100%, $F$11)</f>
        <v>6.5205000000000002</v>
      </c>
      <c r="K170" s="4"/>
      <c r="L170" s="9">
        <v>31.095300000000002</v>
      </c>
      <c r="M170" s="9">
        <v>12.063700000000001</v>
      </c>
      <c r="N170" s="9">
        <v>4.9444999999999997</v>
      </c>
      <c r="O170" s="9">
        <v>0.37409999999999999</v>
      </c>
      <c r="P170" s="9">
        <v>1.2183999999999999</v>
      </c>
      <c r="Q170" s="9">
        <v>31.885999999999999</v>
      </c>
      <c r="R170" s="9"/>
      <c r="S170" s="11"/>
    </row>
    <row r="171" spans="1:19" ht="15.75">
      <c r="A171" s="13">
        <v>46692</v>
      </c>
      <c r="B171" s="8">
        <f>7.3529 * CHOOSE(CONTROL!$C$15, $D$11, 100%, $F$11)</f>
        <v>7.3529</v>
      </c>
      <c r="C171" s="8">
        <f>7.3581 * CHOOSE(CONTROL!$C$15, $D$11, 100%, $F$11)</f>
        <v>7.3581000000000003</v>
      </c>
      <c r="D171" s="8">
        <f>7.3443 * CHOOSE( CONTROL!$C$15, $D$11, 100%, $F$11)</f>
        <v>7.3442999999999996</v>
      </c>
      <c r="E171" s="12">
        <f>7.3488 * CHOOSE( CONTROL!$C$15, $D$11, 100%, $F$11)</f>
        <v>7.3487999999999998</v>
      </c>
      <c r="F171" s="4">
        <f>8.0034 * CHOOSE(CONTROL!$C$15, $D$11, 100%, $F$11)</f>
        <v>8.0033999999999992</v>
      </c>
      <c r="G171" s="8">
        <f>7.1767 * CHOOSE( CONTROL!$C$15, $D$11, 100%, $F$11)</f>
        <v>7.1767000000000003</v>
      </c>
      <c r="H171" s="4">
        <f>8.0517 * CHOOSE(CONTROL!$C$15, $D$11, 100%, $F$11)</f>
        <v>8.0517000000000003</v>
      </c>
      <c r="I171" s="8">
        <f>7.1945 * CHOOSE(CONTROL!$C$15, $D$11, 100%, $F$11)</f>
        <v>7.1944999999999997</v>
      </c>
      <c r="J171" s="4">
        <f>7.0324 * CHOOSE(CONTROL!$C$15, $D$11, 100%, $F$11)</f>
        <v>7.0324</v>
      </c>
      <c r="K171" s="4"/>
      <c r="L171" s="9">
        <v>28.360600000000002</v>
      </c>
      <c r="M171" s="9">
        <v>11.6745</v>
      </c>
      <c r="N171" s="9">
        <v>4.7850000000000001</v>
      </c>
      <c r="O171" s="9">
        <v>0.36199999999999999</v>
      </c>
      <c r="P171" s="9">
        <v>1.2509999999999999</v>
      </c>
      <c r="Q171" s="9">
        <v>30.857399999999998</v>
      </c>
      <c r="R171" s="9"/>
      <c r="S171" s="11"/>
    </row>
    <row r="172" spans="1:19" ht="15.75">
      <c r="A172" s="13">
        <v>46722</v>
      </c>
      <c r="B172" s="8">
        <f>7.3396 * CHOOSE(CONTROL!$C$15, $D$11, 100%, $F$11)</f>
        <v>7.3395999999999999</v>
      </c>
      <c r="C172" s="8">
        <f>7.3448 * CHOOSE(CONTROL!$C$15, $D$11, 100%, $F$11)</f>
        <v>7.3448000000000002</v>
      </c>
      <c r="D172" s="8">
        <f>7.3325 * CHOOSE( CONTROL!$C$15, $D$11, 100%, $F$11)</f>
        <v>7.3324999999999996</v>
      </c>
      <c r="E172" s="12">
        <f>7.3364 * CHOOSE( CONTROL!$C$15, $D$11, 100%, $F$11)</f>
        <v>7.3364000000000003</v>
      </c>
      <c r="F172" s="4">
        <f>7.9901 * CHOOSE(CONTROL!$C$15, $D$11, 100%, $F$11)</f>
        <v>7.9901</v>
      </c>
      <c r="G172" s="8">
        <f>7.1648 * CHOOSE( CONTROL!$C$15, $D$11, 100%, $F$11)</f>
        <v>7.1647999999999996</v>
      </c>
      <c r="H172" s="4">
        <f>8.0387 * CHOOSE(CONTROL!$C$15, $D$11, 100%, $F$11)</f>
        <v>8.0387000000000004</v>
      </c>
      <c r="I172" s="8">
        <f>7.1864 * CHOOSE(CONTROL!$C$15, $D$11, 100%, $F$11)</f>
        <v>7.1863999999999999</v>
      </c>
      <c r="J172" s="4">
        <f>7.0196 * CHOOSE(CONTROL!$C$15, $D$11, 100%, $F$11)</f>
        <v>7.0195999999999996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31.885999999999999</v>
      </c>
      <c r="R172" s="9"/>
      <c r="S172" s="11"/>
    </row>
    <row r="173" spans="1:19" ht="15.75">
      <c r="A173" s="13">
        <v>46753</v>
      </c>
      <c r="B173" s="8">
        <f>7.6006 * CHOOSE(CONTROL!$C$15, $D$11, 100%, $F$11)</f>
        <v>7.6006</v>
      </c>
      <c r="C173" s="8">
        <f>7.6058 * CHOOSE(CONTROL!$C$15, $D$11, 100%, $F$11)</f>
        <v>7.6058000000000003</v>
      </c>
      <c r="D173" s="8">
        <f>7.5883 * CHOOSE( CONTROL!$C$15, $D$11, 100%, $F$11)</f>
        <v>7.5883000000000003</v>
      </c>
      <c r="E173" s="12">
        <f>7.5941 * CHOOSE( CONTROL!$C$15, $D$11, 100%, $F$11)</f>
        <v>7.5941000000000001</v>
      </c>
      <c r="F173" s="4">
        <f>8.2511 * CHOOSE(CONTROL!$C$15, $D$11, 100%, $F$11)</f>
        <v>8.2510999999999992</v>
      </c>
      <c r="G173" s="8">
        <f>7.4097 * CHOOSE( CONTROL!$C$15, $D$11, 100%, $F$11)</f>
        <v>7.4097</v>
      </c>
      <c r="H173" s="4">
        <f>8.2936 * CHOOSE(CONTROL!$C$15, $D$11, 100%, $F$11)</f>
        <v>8.2935999999999996</v>
      </c>
      <c r="I173" s="8">
        <f>7.397 * CHOOSE(CONTROL!$C$15, $D$11, 100%, $F$11)</f>
        <v>7.3970000000000002</v>
      </c>
      <c r="J173" s="4">
        <f>7.2702 * CHOOSE(CONTROL!$C$15, $D$11, 100%, $F$11)</f>
        <v>7.2702</v>
      </c>
      <c r="K173" s="4"/>
      <c r="L173" s="9">
        <v>29.306000000000001</v>
      </c>
      <c r="M173" s="9">
        <v>12.063700000000001</v>
      </c>
      <c r="N173" s="9">
        <v>4.9444999999999997</v>
      </c>
      <c r="O173" s="9">
        <v>0.37409999999999999</v>
      </c>
      <c r="P173" s="9">
        <v>1.2927</v>
      </c>
      <c r="Q173" s="9">
        <v>31.701799999999999</v>
      </c>
      <c r="R173" s="9"/>
      <c r="S173" s="11"/>
    </row>
    <row r="174" spans="1:19" ht="15.75">
      <c r="A174" s="13">
        <v>46784</v>
      </c>
      <c r="B174" s="8">
        <f>7.1111 * CHOOSE(CONTROL!$C$15, $D$11, 100%, $F$11)</f>
        <v>7.1111000000000004</v>
      </c>
      <c r="C174" s="8">
        <f>7.1163 * CHOOSE(CONTROL!$C$15, $D$11, 100%, $F$11)</f>
        <v>7.1162999999999998</v>
      </c>
      <c r="D174" s="8">
        <f>7.0987 * CHOOSE( CONTROL!$C$15, $D$11, 100%, $F$11)</f>
        <v>7.0987</v>
      </c>
      <c r="E174" s="12">
        <f>7.1046 * CHOOSE( CONTROL!$C$15, $D$11, 100%, $F$11)</f>
        <v>7.1045999999999996</v>
      </c>
      <c r="F174" s="4">
        <f>7.7616 * CHOOSE(CONTROL!$C$15, $D$11, 100%, $F$11)</f>
        <v>7.7615999999999996</v>
      </c>
      <c r="G174" s="8">
        <f>6.9315 * CHOOSE( CONTROL!$C$15, $D$11, 100%, $F$11)</f>
        <v>6.9314999999999998</v>
      </c>
      <c r="H174" s="4">
        <f>7.8155 * CHOOSE(CONTROL!$C$15, $D$11, 100%, $F$11)</f>
        <v>7.8155000000000001</v>
      </c>
      <c r="I174" s="8">
        <f>6.9266 * CHOOSE(CONTROL!$C$15, $D$11, 100%, $F$11)</f>
        <v>6.9265999999999996</v>
      </c>
      <c r="J174" s="4">
        <f>6.8002 * CHOOSE(CONTROL!$C$15, $D$11, 100%, $F$11)</f>
        <v>6.8002000000000002</v>
      </c>
      <c r="K174" s="4"/>
      <c r="L174" s="9">
        <v>27.415299999999998</v>
      </c>
      <c r="M174" s="9">
        <v>11.285299999999999</v>
      </c>
      <c r="N174" s="9">
        <v>4.6254999999999997</v>
      </c>
      <c r="O174" s="9">
        <v>0.34989999999999999</v>
      </c>
      <c r="P174" s="9">
        <v>1.2093</v>
      </c>
      <c r="Q174" s="9">
        <v>29.656600000000001</v>
      </c>
      <c r="R174" s="9"/>
      <c r="S174" s="11"/>
    </row>
    <row r="175" spans="1:19" ht="15.75">
      <c r="A175" s="13">
        <v>46813</v>
      </c>
      <c r="B175" s="8">
        <f>6.9603 * CHOOSE(CONTROL!$C$15, $D$11, 100%, $F$11)</f>
        <v>6.9603000000000002</v>
      </c>
      <c r="C175" s="8">
        <f>6.9655 * CHOOSE(CONTROL!$C$15, $D$11, 100%, $F$11)</f>
        <v>6.9654999999999996</v>
      </c>
      <c r="D175" s="8">
        <f>6.9475 * CHOOSE( CONTROL!$C$15, $D$11, 100%, $F$11)</f>
        <v>6.9474999999999998</v>
      </c>
      <c r="E175" s="12">
        <f>6.9535 * CHOOSE( CONTROL!$C$15, $D$11, 100%, $F$11)</f>
        <v>6.9535</v>
      </c>
      <c r="F175" s="4">
        <f>7.6108 * CHOOSE(CONTROL!$C$15, $D$11, 100%, $F$11)</f>
        <v>7.6108000000000002</v>
      </c>
      <c r="G175" s="8">
        <f>6.784 * CHOOSE( CONTROL!$C$15, $D$11, 100%, $F$11)</f>
        <v>6.7839999999999998</v>
      </c>
      <c r="H175" s="4">
        <f>7.6682 * CHOOSE(CONTROL!$C$15, $D$11, 100%, $F$11)</f>
        <v>7.6681999999999997</v>
      </c>
      <c r="I175" s="8">
        <f>6.7806 * CHOOSE(CONTROL!$C$15, $D$11, 100%, $F$11)</f>
        <v>6.7805999999999997</v>
      </c>
      <c r="J175" s="4">
        <f>6.6554 * CHOOSE(CONTROL!$C$15, $D$11, 100%, $F$11)</f>
        <v>6.6554000000000002</v>
      </c>
      <c r="K175" s="4"/>
      <c r="L175" s="9">
        <v>29.306000000000001</v>
      </c>
      <c r="M175" s="9">
        <v>12.063700000000001</v>
      </c>
      <c r="N175" s="9">
        <v>4.9444999999999997</v>
      </c>
      <c r="O175" s="9">
        <v>0.37409999999999999</v>
      </c>
      <c r="P175" s="9">
        <v>1.2927</v>
      </c>
      <c r="Q175" s="9">
        <v>31.701799999999999</v>
      </c>
      <c r="R175" s="9"/>
      <c r="S175" s="11"/>
    </row>
    <row r="176" spans="1:19" ht="15.75">
      <c r="A176" s="13">
        <v>46844</v>
      </c>
      <c r="B176" s="8">
        <f>7.0664 * CHOOSE(CONTROL!$C$15, $D$11, 100%, $F$11)</f>
        <v>7.0663999999999998</v>
      </c>
      <c r="C176" s="8">
        <f>7.0711 * CHOOSE(CONTROL!$C$15, $D$11, 100%, $F$11)</f>
        <v>7.0711000000000004</v>
      </c>
      <c r="D176" s="8">
        <f>7.1022 * CHOOSE( CONTROL!$C$15, $D$11, 100%, $F$11)</f>
        <v>7.1021999999999998</v>
      </c>
      <c r="E176" s="12">
        <f>7.0914 * CHOOSE( CONTROL!$C$15, $D$11, 100%, $F$11)</f>
        <v>7.0914000000000001</v>
      </c>
      <c r="F176" s="4">
        <f>7.7802 * CHOOSE(CONTROL!$C$15, $D$11, 100%, $F$11)</f>
        <v>7.7801999999999998</v>
      </c>
      <c r="G176" s="8">
        <f>6.8877 * CHOOSE( CONTROL!$C$15, $D$11, 100%, $F$11)</f>
        <v>6.8876999999999997</v>
      </c>
      <c r="H176" s="4">
        <f>7.8337 * CHOOSE(CONTROL!$C$15, $D$11, 100%, $F$11)</f>
        <v>7.8337000000000003</v>
      </c>
      <c r="I176" s="8">
        <f>6.8723 * CHOOSE(CONTROL!$C$15, $D$11, 100%, $F$11)</f>
        <v>6.8723000000000001</v>
      </c>
      <c r="J176" s="4">
        <f>6.7566 * CHOOSE(CONTROL!$C$15, $D$11, 100%, $F$11)</f>
        <v>6.7565999999999997</v>
      </c>
      <c r="K176" s="4"/>
      <c r="L176" s="9">
        <v>30.092199999999998</v>
      </c>
      <c r="M176" s="9">
        <v>11.6745</v>
      </c>
      <c r="N176" s="9">
        <v>4.7850000000000001</v>
      </c>
      <c r="O176" s="9">
        <v>0.36199999999999999</v>
      </c>
      <c r="P176" s="9">
        <v>1.1791</v>
      </c>
      <c r="Q176" s="9">
        <v>30.679200000000002</v>
      </c>
      <c r="R176" s="9"/>
      <c r="S176" s="11"/>
    </row>
    <row r="177" spans="1:19" ht="15.75">
      <c r="A177" s="13">
        <v>46874</v>
      </c>
      <c r="B177" s="8">
        <f>CHOOSE( CONTROL!$C$32, 7.2609, 7.2553) * CHOOSE(CONTROL!$C$15, $D$11, 100%, $F$11)</f>
        <v>7.2609000000000004</v>
      </c>
      <c r="C177" s="8">
        <f>CHOOSE( CONTROL!$C$32, 7.269, 7.2634) * CHOOSE(CONTROL!$C$15, $D$11, 100%, $F$11)</f>
        <v>7.2690000000000001</v>
      </c>
      <c r="D177" s="8">
        <f>CHOOSE( CONTROL!$C$32, 7.295, 7.2894) * CHOOSE( CONTROL!$C$15, $D$11, 100%, $F$11)</f>
        <v>7.2949999999999999</v>
      </c>
      <c r="E177" s="12">
        <f>CHOOSE( CONTROL!$C$32, 7.2843, 7.2787) * CHOOSE( CONTROL!$C$15, $D$11, 100%, $F$11)</f>
        <v>7.2843</v>
      </c>
      <c r="F177" s="4">
        <f>CHOOSE( CONTROL!$C$32, 7.9733, 7.9677) * CHOOSE(CONTROL!$C$15, $D$11, 100%, $F$11)</f>
        <v>7.9733000000000001</v>
      </c>
      <c r="G177" s="8">
        <f>CHOOSE( CONTROL!$C$32, 7.0774, 7.072) * CHOOSE( CONTROL!$C$15, $D$11, 100%, $F$11)</f>
        <v>7.0773999999999999</v>
      </c>
      <c r="H177" s="4">
        <f>CHOOSE( CONTROL!$C$32, 8.0223, 8.0169) * CHOOSE(CONTROL!$C$15, $D$11, 100%, $F$11)</f>
        <v>8.0222999999999995</v>
      </c>
      <c r="I177" s="8">
        <f>CHOOSE( CONTROL!$C$32, 7.0577, 7.0524) * CHOOSE(CONTROL!$C$15, $D$11, 100%, $F$11)</f>
        <v>7.0576999999999996</v>
      </c>
      <c r="J177" s="4">
        <f>CHOOSE( CONTROL!$C$32, 6.942, 6.9366) * CHOOSE(CONTROL!$C$15, $D$11, 100%, $F$11)</f>
        <v>6.9420000000000002</v>
      </c>
      <c r="K177" s="4"/>
      <c r="L177" s="9">
        <v>30.7165</v>
      </c>
      <c r="M177" s="9">
        <v>12.063700000000001</v>
      </c>
      <c r="N177" s="9">
        <v>4.9444999999999997</v>
      </c>
      <c r="O177" s="9">
        <v>0.37409999999999999</v>
      </c>
      <c r="P177" s="9">
        <v>1.2183999999999999</v>
      </c>
      <c r="Q177" s="9">
        <v>31.701799999999999</v>
      </c>
      <c r="R177" s="9"/>
      <c r="S177" s="11"/>
    </row>
    <row r="178" spans="1:19" ht="15.75">
      <c r="A178" s="13">
        <v>46905</v>
      </c>
      <c r="B178" s="8">
        <f>CHOOSE( CONTROL!$C$32, 7.1447, 7.1392) * CHOOSE(CONTROL!$C$15, $D$11, 100%, $F$11)</f>
        <v>7.1447000000000003</v>
      </c>
      <c r="C178" s="8">
        <f>CHOOSE( CONTROL!$C$32, 7.1528, 7.1473) * CHOOSE(CONTROL!$C$15, $D$11, 100%, $F$11)</f>
        <v>7.1528</v>
      </c>
      <c r="D178" s="8">
        <f>CHOOSE( CONTROL!$C$32, 7.179, 7.1734) * CHOOSE( CONTROL!$C$15, $D$11, 100%, $F$11)</f>
        <v>7.1790000000000003</v>
      </c>
      <c r="E178" s="12">
        <f>CHOOSE( CONTROL!$C$32, 7.1683, 7.1627) * CHOOSE( CONTROL!$C$15, $D$11, 100%, $F$11)</f>
        <v>7.1683000000000003</v>
      </c>
      <c r="F178" s="4">
        <f>CHOOSE( CONTROL!$C$32, 7.8571, 7.8516) * CHOOSE(CONTROL!$C$15, $D$11, 100%, $F$11)</f>
        <v>7.8571</v>
      </c>
      <c r="G178" s="8">
        <f>CHOOSE( CONTROL!$C$32, 6.9642, 6.9588) * CHOOSE( CONTROL!$C$15, $D$11, 100%, $F$11)</f>
        <v>6.9641999999999999</v>
      </c>
      <c r="H178" s="4">
        <f>CHOOSE( CONTROL!$C$32, 7.9089, 7.9034) * CHOOSE(CONTROL!$C$15, $D$11, 100%, $F$11)</f>
        <v>7.9089</v>
      </c>
      <c r="I178" s="8">
        <f>CHOOSE( CONTROL!$C$32, 6.9469, 6.9416) * CHOOSE(CONTROL!$C$15, $D$11, 100%, $F$11)</f>
        <v>6.9469000000000003</v>
      </c>
      <c r="J178" s="4">
        <f>CHOOSE( CONTROL!$C$32, 6.8304, 6.8251) * CHOOSE(CONTROL!$C$15, $D$11, 100%, $F$11)</f>
        <v>6.8304</v>
      </c>
      <c r="K178" s="4"/>
      <c r="L178" s="9">
        <v>29.7257</v>
      </c>
      <c r="M178" s="9">
        <v>11.6745</v>
      </c>
      <c r="N178" s="9">
        <v>4.7850000000000001</v>
      </c>
      <c r="O178" s="9">
        <v>0.36199999999999999</v>
      </c>
      <c r="P178" s="9">
        <v>1.1791</v>
      </c>
      <c r="Q178" s="9">
        <v>30.679200000000002</v>
      </c>
      <c r="R178" s="9"/>
      <c r="S178" s="11"/>
    </row>
    <row r="179" spans="1:19" ht="15.75">
      <c r="A179" s="13">
        <v>46935</v>
      </c>
      <c r="B179" s="8">
        <f>CHOOSE( CONTROL!$C$32, 7.4506, 7.4451) * CHOOSE(CONTROL!$C$15, $D$11, 100%, $F$11)</f>
        <v>7.4505999999999997</v>
      </c>
      <c r="C179" s="8">
        <f>CHOOSE( CONTROL!$C$32, 7.4587, 7.4531) * CHOOSE(CONTROL!$C$15, $D$11, 100%, $F$11)</f>
        <v>7.4587000000000003</v>
      </c>
      <c r="D179" s="8">
        <f>CHOOSE( CONTROL!$C$32, 7.4851, 7.4795) * CHOOSE( CONTROL!$C$15, $D$11, 100%, $F$11)</f>
        <v>7.4851000000000001</v>
      </c>
      <c r="E179" s="12">
        <f>CHOOSE( CONTROL!$C$32, 7.4743, 7.4687) * CHOOSE( CONTROL!$C$15, $D$11, 100%, $F$11)</f>
        <v>7.4743000000000004</v>
      </c>
      <c r="F179" s="4">
        <f>CHOOSE( CONTROL!$C$32, 8.163, 8.1575) * CHOOSE(CONTROL!$C$15, $D$11, 100%, $F$11)</f>
        <v>8.1630000000000003</v>
      </c>
      <c r="G179" s="8">
        <f>CHOOSE( CONTROL!$C$32, 7.2633, 7.2579) * CHOOSE( CONTROL!$C$15, $D$11, 100%, $F$11)</f>
        <v>7.2633000000000001</v>
      </c>
      <c r="H179" s="4">
        <f>CHOOSE( CONTROL!$C$32, 8.2076, 8.2022) * CHOOSE(CONTROL!$C$15, $D$11, 100%, $F$11)</f>
        <v>8.2075999999999993</v>
      </c>
      <c r="I179" s="8">
        <f>CHOOSE( CONTROL!$C$32, 7.2417, 7.2364) * CHOOSE(CONTROL!$C$15, $D$11, 100%, $F$11)</f>
        <v>7.2416999999999998</v>
      </c>
      <c r="J179" s="4">
        <f>CHOOSE( CONTROL!$C$32, 7.1241, 7.1188) * CHOOSE(CONTROL!$C$15, $D$11, 100%, $F$11)</f>
        <v>7.1241000000000003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1.2183999999999999</v>
      </c>
      <c r="Q179" s="9">
        <v>31.701799999999999</v>
      </c>
      <c r="R179" s="9"/>
      <c r="S179" s="11"/>
    </row>
    <row r="180" spans="1:19" ht="15.75">
      <c r="A180" s="13">
        <v>46966</v>
      </c>
      <c r="B180" s="8">
        <f>CHOOSE( CONTROL!$C$32, 6.8783, 6.8727) * CHOOSE(CONTROL!$C$15, $D$11, 100%, $F$11)</f>
        <v>6.8783000000000003</v>
      </c>
      <c r="C180" s="8">
        <f>CHOOSE( CONTROL!$C$32, 6.8864, 6.8808) * CHOOSE(CONTROL!$C$15, $D$11, 100%, $F$11)</f>
        <v>6.8864000000000001</v>
      </c>
      <c r="D180" s="8">
        <f>CHOOSE( CONTROL!$C$32, 6.9128, 6.9072) * CHOOSE( CONTROL!$C$15, $D$11, 100%, $F$11)</f>
        <v>6.9127999999999998</v>
      </c>
      <c r="E180" s="12">
        <f>CHOOSE( CONTROL!$C$32, 6.902, 6.8964) * CHOOSE( CONTROL!$C$15, $D$11, 100%, $F$11)</f>
        <v>6.9020000000000001</v>
      </c>
      <c r="F180" s="4">
        <f>CHOOSE( CONTROL!$C$32, 7.5907, 7.5851) * CHOOSE(CONTROL!$C$15, $D$11, 100%, $F$11)</f>
        <v>7.5907</v>
      </c>
      <c r="G180" s="8">
        <f>CHOOSE( CONTROL!$C$32, 6.7044, 6.6989) * CHOOSE( CONTROL!$C$15, $D$11, 100%, $F$11)</f>
        <v>6.7043999999999997</v>
      </c>
      <c r="H180" s="4">
        <f>CHOOSE( CONTROL!$C$32, 7.6486, 7.6432) * CHOOSE(CONTROL!$C$15, $D$11, 100%, $F$11)</f>
        <v>7.6486000000000001</v>
      </c>
      <c r="I180" s="8">
        <f>CHOOSE( CONTROL!$C$32, 6.6922, 6.6869) * CHOOSE(CONTROL!$C$15, $D$11, 100%, $F$11)</f>
        <v>6.6921999999999997</v>
      </c>
      <c r="J180" s="4">
        <f>CHOOSE( CONTROL!$C$32, 6.5746, 6.5693) * CHOOSE(CONTROL!$C$15, $D$11, 100%, $F$11)</f>
        <v>6.5746000000000002</v>
      </c>
      <c r="K180" s="4"/>
      <c r="L180" s="9">
        <v>30.7165</v>
      </c>
      <c r="M180" s="9">
        <v>12.063700000000001</v>
      </c>
      <c r="N180" s="9">
        <v>4.9444999999999997</v>
      </c>
      <c r="O180" s="9">
        <v>0.37409999999999999</v>
      </c>
      <c r="P180" s="9">
        <v>1.2183999999999999</v>
      </c>
      <c r="Q180" s="9">
        <v>31.701799999999999</v>
      </c>
      <c r="R180" s="9"/>
      <c r="S180" s="11"/>
    </row>
    <row r="181" spans="1:19" ht="15.75">
      <c r="A181" s="13">
        <v>46997</v>
      </c>
      <c r="B181" s="8">
        <f>CHOOSE( CONTROL!$C$32, 6.7349, 6.7294) * CHOOSE(CONTROL!$C$15, $D$11, 100%, $F$11)</f>
        <v>6.7348999999999997</v>
      </c>
      <c r="C181" s="8">
        <f>CHOOSE( CONTROL!$C$32, 6.743, 6.7375) * CHOOSE(CONTROL!$C$15, $D$11, 100%, $F$11)</f>
        <v>6.7430000000000003</v>
      </c>
      <c r="D181" s="8">
        <f>CHOOSE( CONTROL!$C$32, 6.7694, 6.7638) * CHOOSE( CONTROL!$C$15, $D$11, 100%, $F$11)</f>
        <v>6.7694000000000001</v>
      </c>
      <c r="E181" s="12">
        <f>CHOOSE( CONTROL!$C$32, 6.7586, 6.753) * CHOOSE( CONTROL!$C$15, $D$11, 100%, $F$11)</f>
        <v>6.7586000000000004</v>
      </c>
      <c r="F181" s="4">
        <f>CHOOSE( CONTROL!$C$32, 7.4473, 7.4418) * CHOOSE(CONTROL!$C$15, $D$11, 100%, $F$11)</f>
        <v>7.4473000000000003</v>
      </c>
      <c r="G181" s="8">
        <f>CHOOSE( CONTROL!$C$32, 6.5643, 6.5589) * CHOOSE( CONTROL!$C$15, $D$11, 100%, $F$11)</f>
        <v>6.5643000000000002</v>
      </c>
      <c r="H181" s="4">
        <f>CHOOSE( CONTROL!$C$32, 7.5086, 7.5032) * CHOOSE(CONTROL!$C$15, $D$11, 100%, $F$11)</f>
        <v>7.5086000000000004</v>
      </c>
      <c r="I181" s="8">
        <f>CHOOSE( CONTROL!$C$32, 6.5543, 6.549) * CHOOSE(CONTROL!$C$15, $D$11, 100%, $F$11)</f>
        <v>6.5542999999999996</v>
      </c>
      <c r="J181" s="4">
        <f>CHOOSE( CONTROL!$C$32, 6.437, 6.4317) * CHOOSE(CONTROL!$C$15, $D$11, 100%, $F$11)</f>
        <v>6.4370000000000003</v>
      </c>
      <c r="K181" s="4"/>
      <c r="L181" s="9">
        <v>29.7257</v>
      </c>
      <c r="M181" s="9">
        <v>11.6745</v>
      </c>
      <c r="N181" s="9">
        <v>4.7850000000000001</v>
      </c>
      <c r="O181" s="9">
        <v>0.36199999999999999</v>
      </c>
      <c r="P181" s="9">
        <v>1.1791</v>
      </c>
      <c r="Q181" s="9">
        <v>30.679200000000002</v>
      </c>
      <c r="R181" s="9"/>
      <c r="S181" s="11"/>
    </row>
    <row r="182" spans="1:19" ht="15.75">
      <c r="A182" s="13">
        <v>47027</v>
      </c>
      <c r="B182" s="8">
        <f>7.0252 * CHOOSE(CONTROL!$C$15, $D$11, 100%, $F$11)</f>
        <v>7.0251999999999999</v>
      </c>
      <c r="C182" s="8">
        <f>7.0307 * CHOOSE(CONTROL!$C$15, $D$11, 100%, $F$11)</f>
        <v>7.0307000000000004</v>
      </c>
      <c r="D182" s="8">
        <f>7.0619 * CHOOSE( CONTROL!$C$15, $D$11, 100%, $F$11)</f>
        <v>7.0618999999999996</v>
      </c>
      <c r="E182" s="12">
        <f>7.051 * CHOOSE( CONTROL!$C$15, $D$11, 100%, $F$11)</f>
        <v>7.0510000000000002</v>
      </c>
      <c r="F182" s="4">
        <f>7.7394 * CHOOSE(CONTROL!$C$15, $D$11, 100%, $F$11)</f>
        <v>7.7393999999999998</v>
      </c>
      <c r="G182" s="8">
        <f>6.8487 * CHOOSE( CONTROL!$C$15, $D$11, 100%, $F$11)</f>
        <v>6.8487</v>
      </c>
      <c r="H182" s="4">
        <f>7.7938 * CHOOSE(CONTROL!$C$15, $D$11, 100%, $F$11)</f>
        <v>7.7938000000000001</v>
      </c>
      <c r="I182" s="8">
        <f>6.8357 * CHOOSE(CONTROL!$C$15, $D$11, 100%, $F$11)</f>
        <v>6.8357000000000001</v>
      </c>
      <c r="J182" s="4">
        <f>6.7174 * CHOOSE(CONTROL!$C$15, $D$11, 100%, $F$11)</f>
        <v>6.7173999999999996</v>
      </c>
      <c r="K182" s="4"/>
      <c r="L182" s="9">
        <v>31.095300000000002</v>
      </c>
      <c r="M182" s="9">
        <v>12.063700000000001</v>
      </c>
      <c r="N182" s="9">
        <v>4.9444999999999997</v>
      </c>
      <c r="O182" s="9">
        <v>0.37409999999999999</v>
      </c>
      <c r="P182" s="9">
        <v>1.2183999999999999</v>
      </c>
      <c r="Q182" s="9">
        <v>31.701799999999999</v>
      </c>
      <c r="R182" s="9"/>
      <c r="S182" s="11"/>
    </row>
    <row r="183" spans="1:19" ht="15.75">
      <c r="A183" s="13">
        <v>47058</v>
      </c>
      <c r="B183" s="8">
        <f>7.5741 * CHOOSE(CONTROL!$C$15, $D$11, 100%, $F$11)</f>
        <v>7.5740999999999996</v>
      </c>
      <c r="C183" s="8">
        <f>7.5793 * CHOOSE(CONTROL!$C$15, $D$11, 100%, $F$11)</f>
        <v>7.5792999999999999</v>
      </c>
      <c r="D183" s="8">
        <f>7.5655 * CHOOSE( CONTROL!$C$15, $D$11, 100%, $F$11)</f>
        <v>7.5655000000000001</v>
      </c>
      <c r="E183" s="12">
        <f>7.57 * CHOOSE( CONTROL!$C$15, $D$11, 100%, $F$11)</f>
        <v>7.57</v>
      </c>
      <c r="F183" s="4">
        <f>8.2246 * CHOOSE(CONTROL!$C$15, $D$11, 100%, $F$11)</f>
        <v>8.2246000000000006</v>
      </c>
      <c r="G183" s="8">
        <f>7.3928 * CHOOSE( CONTROL!$C$15, $D$11, 100%, $F$11)</f>
        <v>7.3928000000000003</v>
      </c>
      <c r="H183" s="4">
        <f>8.2678 * CHOOSE(CONTROL!$C$15, $D$11, 100%, $F$11)</f>
        <v>8.2677999999999994</v>
      </c>
      <c r="I183" s="8">
        <f>7.4069 * CHOOSE(CONTROL!$C$15, $D$11, 100%, $F$11)</f>
        <v>7.4069000000000003</v>
      </c>
      <c r="J183" s="4">
        <f>7.2447 * CHOOSE(CONTROL!$C$15, $D$11, 100%, $F$11)</f>
        <v>7.2446999999999999</v>
      </c>
      <c r="K183" s="4"/>
      <c r="L183" s="9">
        <v>28.360600000000002</v>
      </c>
      <c r="M183" s="9">
        <v>11.6745</v>
      </c>
      <c r="N183" s="9">
        <v>4.7850000000000001</v>
      </c>
      <c r="O183" s="9">
        <v>0.36199999999999999</v>
      </c>
      <c r="P183" s="9">
        <v>1.2509999999999999</v>
      </c>
      <c r="Q183" s="9">
        <v>30.679200000000002</v>
      </c>
      <c r="R183" s="9"/>
      <c r="S183" s="11"/>
    </row>
    <row r="184" spans="1:19" ht="15.75">
      <c r="A184" s="13">
        <v>47088</v>
      </c>
      <c r="B184" s="8">
        <f>7.5604 * CHOOSE(CONTROL!$C$15, $D$11, 100%, $F$11)</f>
        <v>7.5603999999999996</v>
      </c>
      <c r="C184" s="8">
        <f>7.5656 * CHOOSE(CONTROL!$C$15, $D$11, 100%, $F$11)</f>
        <v>7.5655999999999999</v>
      </c>
      <c r="D184" s="8">
        <f>7.5533 * CHOOSE( CONTROL!$C$15, $D$11, 100%, $F$11)</f>
        <v>7.5533000000000001</v>
      </c>
      <c r="E184" s="12">
        <f>7.5572 * CHOOSE( CONTROL!$C$15, $D$11, 100%, $F$11)</f>
        <v>7.5571999999999999</v>
      </c>
      <c r="F184" s="4">
        <f>8.2109 * CHOOSE(CONTROL!$C$15, $D$11, 100%, $F$11)</f>
        <v>8.2109000000000005</v>
      </c>
      <c r="G184" s="8">
        <f>7.3804 * CHOOSE( CONTROL!$C$15, $D$11, 100%, $F$11)</f>
        <v>7.3803999999999998</v>
      </c>
      <c r="H184" s="4">
        <f>8.2544 * CHOOSE(CONTROL!$C$15, $D$11, 100%, $F$11)</f>
        <v>8.2544000000000004</v>
      </c>
      <c r="I184" s="8">
        <f>7.3985 * CHOOSE(CONTROL!$C$15, $D$11, 100%, $F$11)</f>
        <v>7.3985000000000003</v>
      </c>
      <c r="J184" s="4">
        <f>7.2316 * CHOOSE(CONTROL!$C$15, $D$11, 100%, $F$11)</f>
        <v>7.2316000000000003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31.701799999999999</v>
      </c>
      <c r="R184" s="9"/>
      <c r="S184" s="11"/>
    </row>
    <row r="185" spans="1:19" ht="15.75">
      <c r="A185" s="13">
        <v>47119</v>
      </c>
      <c r="B185" s="8">
        <f>7.8286 * CHOOSE(CONTROL!$C$15, $D$11, 100%, $F$11)</f>
        <v>7.8285999999999998</v>
      </c>
      <c r="C185" s="8">
        <f>7.8337 * CHOOSE(CONTROL!$C$15, $D$11, 100%, $F$11)</f>
        <v>7.8337000000000003</v>
      </c>
      <c r="D185" s="8">
        <f>7.8162 * CHOOSE( CONTROL!$C$15, $D$11, 100%, $F$11)</f>
        <v>7.8162000000000003</v>
      </c>
      <c r="E185" s="12">
        <f>7.8221 * CHOOSE( CONTROL!$C$15, $D$11, 100%, $F$11)</f>
        <v>7.8220999999999998</v>
      </c>
      <c r="F185" s="4">
        <f>8.479 * CHOOSE(CONTROL!$C$15, $D$11, 100%, $F$11)</f>
        <v>8.4789999999999992</v>
      </c>
      <c r="G185" s="8">
        <f>7.6323 * CHOOSE( CONTROL!$C$15, $D$11, 100%, $F$11)</f>
        <v>7.6322999999999999</v>
      </c>
      <c r="H185" s="4">
        <f>8.5163 * CHOOSE(CONTROL!$C$15, $D$11, 100%, $F$11)</f>
        <v>8.5162999999999993</v>
      </c>
      <c r="I185" s="8">
        <f>7.6159 * CHOOSE(CONTROL!$C$15, $D$11, 100%, $F$11)</f>
        <v>7.6158999999999999</v>
      </c>
      <c r="J185" s="4">
        <f>7.489 * CHOOSE(CONTROL!$C$15, $D$11, 100%, $F$11)</f>
        <v>7.4889999999999999</v>
      </c>
      <c r="K185" s="4"/>
      <c r="L185" s="9">
        <v>29.306000000000001</v>
      </c>
      <c r="M185" s="9">
        <v>12.063700000000001</v>
      </c>
      <c r="N185" s="9">
        <v>4.9444999999999997</v>
      </c>
      <c r="O185" s="9">
        <v>0.37409999999999999</v>
      </c>
      <c r="P185" s="9">
        <v>1.2927</v>
      </c>
      <c r="Q185" s="9">
        <v>31.517700000000001</v>
      </c>
      <c r="R185" s="9"/>
      <c r="S185" s="11"/>
    </row>
    <row r="186" spans="1:19" ht="15.75">
      <c r="A186" s="13">
        <v>47150</v>
      </c>
      <c r="B186" s="8">
        <f>7.3243 * CHOOSE(CONTROL!$C$15, $D$11, 100%, $F$11)</f>
        <v>7.3243</v>
      </c>
      <c r="C186" s="8">
        <f>7.3295 * CHOOSE(CONTROL!$C$15, $D$11, 100%, $F$11)</f>
        <v>7.3295000000000003</v>
      </c>
      <c r="D186" s="8">
        <f>7.3118 * CHOOSE( CONTROL!$C$15, $D$11, 100%, $F$11)</f>
        <v>7.3117999999999999</v>
      </c>
      <c r="E186" s="12">
        <f>7.3177 * CHOOSE( CONTROL!$C$15, $D$11, 100%, $F$11)</f>
        <v>7.3177000000000003</v>
      </c>
      <c r="F186" s="4">
        <f>7.9748 * CHOOSE(CONTROL!$C$15, $D$11, 100%, $F$11)</f>
        <v>7.9748000000000001</v>
      </c>
      <c r="G186" s="8">
        <f>7.1397 * CHOOSE( CONTROL!$C$15, $D$11, 100%, $F$11)</f>
        <v>7.1397000000000004</v>
      </c>
      <c r="H186" s="4">
        <f>8.0237 * CHOOSE(CONTROL!$C$15, $D$11, 100%, $F$11)</f>
        <v>8.0236999999999998</v>
      </c>
      <c r="I186" s="8">
        <f>7.1314 * CHOOSE(CONTROL!$C$15, $D$11, 100%, $F$11)</f>
        <v>7.1314000000000002</v>
      </c>
      <c r="J186" s="4">
        <f>7.0049 * CHOOSE(CONTROL!$C$15, $D$11, 100%, $F$11)</f>
        <v>7.0049000000000001</v>
      </c>
      <c r="K186" s="4"/>
      <c r="L186" s="9">
        <v>26.469899999999999</v>
      </c>
      <c r="M186" s="9">
        <v>10.8962</v>
      </c>
      <c r="N186" s="9">
        <v>4.4660000000000002</v>
      </c>
      <c r="O186" s="9">
        <v>0.33789999999999998</v>
      </c>
      <c r="P186" s="9">
        <v>1.1676</v>
      </c>
      <c r="Q186" s="9">
        <v>28.467600000000001</v>
      </c>
      <c r="R186" s="9"/>
      <c r="S186" s="11"/>
    </row>
    <row r="187" spans="1:19" ht="15.75">
      <c r="A187" s="13">
        <v>47178</v>
      </c>
      <c r="B187" s="8">
        <f>7.169 * CHOOSE(CONTROL!$C$15, $D$11, 100%, $F$11)</f>
        <v>7.1689999999999996</v>
      </c>
      <c r="C187" s="8">
        <f>7.1742 * CHOOSE(CONTROL!$C$15, $D$11, 100%, $F$11)</f>
        <v>7.1741999999999999</v>
      </c>
      <c r="D187" s="8">
        <f>7.1562 * CHOOSE( CONTROL!$C$15, $D$11, 100%, $F$11)</f>
        <v>7.1562000000000001</v>
      </c>
      <c r="E187" s="12">
        <f>7.1622 * CHOOSE( CONTROL!$C$15, $D$11, 100%, $F$11)</f>
        <v>7.1622000000000003</v>
      </c>
      <c r="F187" s="4">
        <f>7.8194 * CHOOSE(CONTROL!$C$15, $D$11, 100%, $F$11)</f>
        <v>7.8193999999999999</v>
      </c>
      <c r="G187" s="8">
        <f>6.9878 * CHOOSE( CONTROL!$C$15, $D$11, 100%, $F$11)</f>
        <v>6.9878</v>
      </c>
      <c r="H187" s="4">
        <f>7.872 * CHOOSE(CONTROL!$C$15, $D$11, 100%, $F$11)</f>
        <v>7.8719999999999999</v>
      </c>
      <c r="I187" s="8">
        <f>6.981 * CHOOSE(CONTROL!$C$15, $D$11, 100%, $F$11)</f>
        <v>6.9809999999999999</v>
      </c>
      <c r="J187" s="4">
        <f>6.8558 * CHOOSE(CONTROL!$C$15, $D$11, 100%, $F$11)</f>
        <v>6.8558000000000003</v>
      </c>
      <c r="K187" s="4"/>
      <c r="L187" s="9">
        <v>29.306000000000001</v>
      </c>
      <c r="M187" s="9">
        <v>12.063700000000001</v>
      </c>
      <c r="N187" s="9">
        <v>4.9444999999999997</v>
      </c>
      <c r="O187" s="9">
        <v>0.37409999999999999</v>
      </c>
      <c r="P187" s="9">
        <v>1.2927</v>
      </c>
      <c r="Q187" s="9">
        <v>31.517700000000001</v>
      </c>
      <c r="R187" s="9"/>
      <c r="S187" s="11"/>
    </row>
    <row r="188" spans="1:19" ht="15.75">
      <c r="A188" s="13">
        <v>47209</v>
      </c>
      <c r="B188" s="8">
        <f>7.2783 * CHOOSE(CONTROL!$C$15, $D$11, 100%, $F$11)</f>
        <v>7.2782999999999998</v>
      </c>
      <c r="C188" s="8">
        <f>7.2829 * CHOOSE(CONTROL!$C$15, $D$11, 100%, $F$11)</f>
        <v>7.2828999999999997</v>
      </c>
      <c r="D188" s="8">
        <f>7.314 * CHOOSE( CONTROL!$C$15, $D$11, 100%, $F$11)</f>
        <v>7.3140000000000001</v>
      </c>
      <c r="E188" s="12">
        <f>7.3032 * CHOOSE( CONTROL!$C$15, $D$11, 100%, $F$11)</f>
        <v>7.3032000000000004</v>
      </c>
      <c r="F188" s="4">
        <f>7.992 * CHOOSE(CONTROL!$C$15, $D$11, 100%, $F$11)</f>
        <v>7.992</v>
      </c>
      <c r="G188" s="8">
        <f>7.0946 * CHOOSE( CONTROL!$C$15, $D$11, 100%, $F$11)</f>
        <v>7.0945999999999998</v>
      </c>
      <c r="H188" s="4">
        <f>8.0406 * CHOOSE(CONTROL!$C$15, $D$11, 100%, $F$11)</f>
        <v>8.0405999999999995</v>
      </c>
      <c r="I188" s="8">
        <f>7.0758 * CHOOSE(CONTROL!$C$15, $D$11, 100%, $F$11)</f>
        <v>7.0758000000000001</v>
      </c>
      <c r="J188" s="4">
        <f>6.96 * CHOOSE(CONTROL!$C$15, $D$11, 100%, $F$11)</f>
        <v>6.96</v>
      </c>
      <c r="K188" s="4"/>
      <c r="L188" s="9">
        <v>30.092199999999998</v>
      </c>
      <c r="M188" s="9">
        <v>11.6745</v>
      </c>
      <c r="N188" s="9">
        <v>4.7850000000000001</v>
      </c>
      <c r="O188" s="9">
        <v>0.36199999999999999</v>
      </c>
      <c r="P188" s="9">
        <v>1.1791</v>
      </c>
      <c r="Q188" s="9">
        <v>30.501000000000001</v>
      </c>
      <c r="R188" s="9"/>
      <c r="S188" s="11"/>
    </row>
    <row r="189" spans="1:19" ht="15.75">
      <c r="A189" s="13">
        <v>47239</v>
      </c>
      <c r="B189" s="8">
        <f>CHOOSE( CONTROL!$C$32, 7.4784, 7.4728) * CHOOSE(CONTROL!$C$15, $D$11, 100%, $F$11)</f>
        <v>7.4783999999999997</v>
      </c>
      <c r="C189" s="8">
        <f>CHOOSE( CONTROL!$C$32, 7.4864, 7.4809) * CHOOSE(CONTROL!$C$15, $D$11, 100%, $F$11)</f>
        <v>7.4863999999999997</v>
      </c>
      <c r="D189" s="8">
        <f>CHOOSE( CONTROL!$C$32, 7.5124, 7.5068) * CHOOSE( CONTROL!$C$15, $D$11, 100%, $F$11)</f>
        <v>7.5124000000000004</v>
      </c>
      <c r="E189" s="12">
        <f>CHOOSE( CONTROL!$C$32, 7.5018, 7.4962) * CHOOSE( CONTROL!$C$15, $D$11, 100%, $F$11)</f>
        <v>7.5018000000000002</v>
      </c>
      <c r="F189" s="4">
        <f>CHOOSE( CONTROL!$C$32, 8.1908, 8.1852) * CHOOSE(CONTROL!$C$15, $D$11, 100%, $F$11)</f>
        <v>8.1907999999999994</v>
      </c>
      <c r="G189" s="8">
        <f>CHOOSE( CONTROL!$C$32, 7.2898, 7.2844) * CHOOSE( CONTROL!$C$15, $D$11, 100%, $F$11)</f>
        <v>7.2897999999999996</v>
      </c>
      <c r="H189" s="4">
        <f>CHOOSE( CONTROL!$C$32, 8.2347, 8.2293) * CHOOSE(CONTROL!$C$15, $D$11, 100%, $F$11)</f>
        <v>8.2347000000000001</v>
      </c>
      <c r="I189" s="8">
        <f>CHOOSE( CONTROL!$C$32, 7.2666, 7.2612) * CHOOSE(CONTROL!$C$15, $D$11, 100%, $F$11)</f>
        <v>7.2666000000000004</v>
      </c>
      <c r="J189" s="4">
        <f>CHOOSE( CONTROL!$C$32, 7.1507, 7.1454) * CHOOSE(CONTROL!$C$15, $D$11, 100%, $F$11)</f>
        <v>7.1506999999999996</v>
      </c>
      <c r="K189" s="4"/>
      <c r="L189" s="9">
        <v>30.7165</v>
      </c>
      <c r="M189" s="9">
        <v>12.063700000000001</v>
      </c>
      <c r="N189" s="9">
        <v>4.9444999999999997</v>
      </c>
      <c r="O189" s="9">
        <v>0.37409999999999999</v>
      </c>
      <c r="P189" s="9">
        <v>1.2183999999999999</v>
      </c>
      <c r="Q189" s="9">
        <v>31.517700000000001</v>
      </c>
      <c r="R189" s="9"/>
      <c r="S189" s="11"/>
    </row>
    <row r="190" spans="1:19" ht="15.75">
      <c r="A190" s="13">
        <v>47270</v>
      </c>
      <c r="B190" s="8">
        <f>CHOOSE( CONTROL!$C$32, 7.3587, 7.3531) * CHOOSE(CONTROL!$C$15, $D$11, 100%, $F$11)</f>
        <v>7.3586999999999998</v>
      </c>
      <c r="C190" s="8">
        <f>CHOOSE( CONTROL!$C$32, 7.3668, 7.3612) * CHOOSE(CONTROL!$C$15, $D$11, 100%, $F$11)</f>
        <v>7.3667999999999996</v>
      </c>
      <c r="D190" s="8">
        <f>CHOOSE( CONTROL!$C$32, 7.3929, 7.3874) * CHOOSE( CONTROL!$C$15, $D$11, 100%, $F$11)</f>
        <v>7.3929</v>
      </c>
      <c r="E190" s="12">
        <f>CHOOSE( CONTROL!$C$32, 7.3822, 7.3767) * CHOOSE( CONTROL!$C$15, $D$11, 100%, $F$11)</f>
        <v>7.3822000000000001</v>
      </c>
      <c r="F190" s="4">
        <f>CHOOSE( CONTROL!$C$32, 8.0711, 8.0655) * CHOOSE(CONTROL!$C$15, $D$11, 100%, $F$11)</f>
        <v>8.0710999999999995</v>
      </c>
      <c r="G190" s="8">
        <f>CHOOSE( CONTROL!$C$32, 7.1732, 7.1678) * CHOOSE( CONTROL!$C$15, $D$11, 100%, $F$11)</f>
        <v>7.1731999999999996</v>
      </c>
      <c r="H190" s="4">
        <f>CHOOSE( CONTROL!$C$32, 8.1178, 8.1124) * CHOOSE(CONTROL!$C$15, $D$11, 100%, $F$11)</f>
        <v>8.1178000000000008</v>
      </c>
      <c r="I190" s="8">
        <f>CHOOSE( CONTROL!$C$32, 7.1525, 7.1471) * CHOOSE(CONTROL!$C$15, $D$11, 100%, $F$11)</f>
        <v>7.1524999999999999</v>
      </c>
      <c r="J190" s="4">
        <f>CHOOSE( CONTROL!$C$32, 7.0359, 7.0305) * CHOOSE(CONTROL!$C$15, $D$11, 100%, $F$11)</f>
        <v>7.0358999999999998</v>
      </c>
      <c r="K190" s="4"/>
      <c r="L190" s="9">
        <v>29.7257</v>
      </c>
      <c r="M190" s="9">
        <v>11.6745</v>
      </c>
      <c r="N190" s="9">
        <v>4.7850000000000001</v>
      </c>
      <c r="O190" s="9">
        <v>0.36199999999999999</v>
      </c>
      <c r="P190" s="9">
        <v>1.1791</v>
      </c>
      <c r="Q190" s="9">
        <v>30.501000000000001</v>
      </c>
      <c r="R190" s="9"/>
      <c r="S190" s="11"/>
    </row>
    <row r="191" spans="1:19" ht="15.75">
      <c r="A191" s="13">
        <v>47300</v>
      </c>
      <c r="B191" s="8">
        <f>CHOOSE( CONTROL!$C$32, 7.6738, 7.6682) * CHOOSE(CONTROL!$C$15, $D$11, 100%, $F$11)</f>
        <v>7.6738</v>
      </c>
      <c r="C191" s="8">
        <f>CHOOSE( CONTROL!$C$32, 7.6819, 7.6763) * CHOOSE(CONTROL!$C$15, $D$11, 100%, $F$11)</f>
        <v>7.6818999999999997</v>
      </c>
      <c r="D191" s="8">
        <f>CHOOSE( CONTROL!$C$32, 7.7082, 7.7027) * CHOOSE( CONTROL!$C$15, $D$11, 100%, $F$11)</f>
        <v>7.7081999999999997</v>
      </c>
      <c r="E191" s="12">
        <f>CHOOSE( CONTROL!$C$32, 7.6974, 7.6919) * CHOOSE( CONTROL!$C$15, $D$11, 100%, $F$11)</f>
        <v>7.6974</v>
      </c>
      <c r="F191" s="4">
        <f>CHOOSE( CONTROL!$C$32, 8.3862, 8.3806) * CHOOSE(CONTROL!$C$15, $D$11, 100%, $F$11)</f>
        <v>8.3862000000000005</v>
      </c>
      <c r="G191" s="8">
        <f>CHOOSE( CONTROL!$C$32, 7.4813, 7.4758) * CHOOSE( CONTROL!$C$15, $D$11, 100%, $F$11)</f>
        <v>7.4813000000000001</v>
      </c>
      <c r="H191" s="4">
        <f>CHOOSE( CONTROL!$C$32, 8.4256, 8.4201) * CHOOSE(CONTROL!$C$15, $D$11, 100%, $F$11)</f>
        <v>8.4255999999999993</v>
      </c>
      <c r="I191" s="8">
        <f>CHOOSE( CONTROL!$C$32, 7.4561, 7.4507) * CHOOSE(CONTROL!$C$15, $D$11, 100%, $F$11)</f>
        <v>7.4561000000000002</v>
      </c>
      <c r="J191" s="4">
        <f>CHOOSE( CONTROL!$C$32, 7.3384, 7.333) * CHOOSE(CONTROL!$C$15, $D$11, 100%, $F$11)</f>
        <v>7.3384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1.2183999999999999</v>
      </c>
      <c r="Q191" s="9">
        <v>31.517700000000001</v>
      </c>
      <c r="R191" s="9"/>
      <c r="S191" s="11"/>
    </row>
    <row r="192" spans="1:19" ht="15.75">
      <c r="A192" s="13">
        <v>47331</v>
      </c>
      <c r="B192" s="8">
        <f>CHOOSE( CONTROL!$C$32, 7.0842, 7.0787) * CHOOSE(CONTROL!$C$15, $D$11, 100%, $F$11)</f>
        <v>7.0842000000000001</v>
      </c>
      <c r="C192" s="8">
        <f>CHOOSE( CONTROL!$C$32, 7.0923, 7.0867) * CHOOSE(CONTROL!$C$15, $D$11, 100%, $F$11)</f>
        <v>7.0922999999999998</v>
      </c>
      <c r="D192" s="8">
        <f>CHOOSE( CONTROL!$C$32, 7.1187, 7.1131) * CHOOSE( CONTROL!$C$15, $D$11, 100%, $F$11)</f>
        <v>7.1186999999999996</v>
      </c>
      <c r="E192" s="12">
        <f>CHOOSE( CONTROL!$C$32, 7.1079, 7.1023) * CHOOSE( CONTROL!$C$15, $D$11, 100%, $F$11)</f>
        <v>7.1078999999999999</v>
      </c>
      <c r="F192" s="4">
        <f>CHOOSE( CONTROL!$C$32, 7.7966, 7.791) * CHOOSE(CONTROL!$C$15, $D$11, 100%, $F$11)</f>
        <v>7.7965999999999998</v>
      </c>
      <c r="G192" s="8">
        <f>CHOOSE( CONTROL!$C$32, 6.9055, 6.9001) * CHOOSE( CONTROL!$C$15, $D$11, 100%, $F$11)</f>
        <v>6.9055</v>
      </c>
      <c r="H192" s="4">
        <f>CHOOSE( CONTROL!$C$32, 7.8497, 7.8443) * CHOOSE(CONTROL!$C$15, $D$11, 100%, $F$11)</f>
        <v>7.8497000000000003</v>
      </c>
      <c r="I192" s="8">
        <f>CHOOSE( CONTROL!$C$32, 6.89, 6.8847) * CHOOSE(CONTROL!$C$15, $D$11, 100%, $F$11)</f>
        <v>6.89</v>
      </c>
      <c r="J192" s="4">
        <f>CHOOSE( CONTROL!$C$32, 6.7723, 6.767) * CHOOSE(CONTROL!$C$15, $D$11, 100%, $F$11)</f>
        <v>6.7723000000000004</v>
      </c>
      <c r="K192" s="4"/>
      <c r="L192" s="9">
        <v>30.7165</v>
      </c>
      <c r="M192" s="9">
        <v>12.063700000000001</v>
      </c>
      <c r="N192" s="9">
        <v>4.9444999999999997</v>
      </c>
      <c r="O192" s="9">
        <v>0.37409999999999999</v>
      </c>
      <c r="P192" s="9">
        <v>1.2183999999999999</v>
      </c>
      <c r="Q192" s="9">
        <v>31.517700000000001</v>
      </c>
      <c r="R192" s="9"/>
      <c r="S192" s="11"/>
    </row>
    <row r="193" spans="1:19" ht="15.75">
      <c r="A193" s="13">
        <v>47362</v>
      </c>
      <c r="B193" s="8">
        <f>CHOOSE( CONTROL!$C$32, 6.9366, 6.931) * CHOOSE(CONTROL!$C$15, $D$11, 100%, $F$11)</f>
        <v>6.9366000000000003</v>
      </c>
      <c r="C193" s="8">
        <f>CHOOSE( CONTROL!$C$32, 6.9447, 6.9391) * CHOOSE(CONTROL!$C$15, $D$11, 100%, $F$11)</f>
        <v>6.9447000000000001</v>
      </c>
      <c r="D193" s="8">
        <f>CHOOSE( CONTROL!$C$32, 6.971, 6.9654) * CHOOSE( CONTROL!$C$15, $D$11, 100%, $F$11)</f>
        <v>6.9710000000000001</v>
      </c>
      <c r="E193" s="12">
        <f>CHOOSE( CONTROL!$C$32, 6.9602, 6.9546) * CHOOSE( CONTROL!$C$15, $D$11, 100%, $F$11)</f>
        <v>6.9602000000000004</v>
      </c>
      <c r="F193" s="4">
        <f>CHOOSE( CONTROL!$C$32, 7.649, 7.6434) * CHOOSE(CONTROL!$C$15, $D$11, 100%, $F$11)</f>
        <v>7.649</v>
      </c>
      <c r="G193" s="8">
        <f>CHOOSE( CONTROL!$C$32, 6.7612, 6.7558) * CHOOSE( CONTROL!$C$15, $D$11, 100%, $F$11)</f>
        <v>6.7611999999999997</v>
      </c>
      <c r="H193" s="4">
        <f>CHOOSE( CONTROL!$C$32, 7.7055, 7.7001) * CHOOSE(CONTROL!$C$15, $D$11, 100%, $F$11)</f>
        <v>7.7054999999999998</v>
      </c>
      <c r="I193" s="8">
        <f>CHOOSE( CONTROL!$C$32, 6.748, 6.7426) * CHOOSE(CONTROL!$C$15, $D$11, 100%, $F$11)</f>
        <v>6.7480000000000002</v>
      </c>
      <c r="J193" s="4">
        <f>CHOOSE( CONTROL!$C$32, 6.6306, 6.6252) * CHOOSE(CONTROL!$C$15, $D$11, 100%, $F$11)</f>
        <v>6.6306000000000003</v>
      </c>
      <c r="K193" s="4"/>
      <c r="L193" s="9">
        <v>29.7257</v>
      </c>
      <c r="M193" s="9">
        <v>11.6745</v>
      </c>
      <c r="N193" s="9">
        <v>4.7850000000000001</v>
      </c>
      <c r="O193" s="9">
        <v>0.36199999999999999</v>
      </c>
      <c r="P193" s="9">
        <v>1.1791</v>
      </c>
      <c r="Q193" s="9">
        <v>30.501000000000001</v>
      </c>
      <c r="R193" s="9"/>
      <c r="S193" s="11"/>
    </row>
    <row r="194" spans="1:19" ht="15.75">
      <c r="A194" s="13">
        <v>47392</v>
      </c>
      <c r="B194" s="8">
        <f>7.2358 * CHOOSE(CONTROL!$C$15, $D$11, 100%, $F$11)</f>
        <v>7.2358000000000002</v>
      </c>
      <c r="C194" s="8">
        <f>7.2413 * CHOOSE(CONTROL!$C$15, $D$11, 100%, $F$11)</f>
        <v>7.2412999999999998</v>
      </c>
      <c r="D194" s="8">
        <f>7.2725 * CHOOSE( CONTROL!$C$15, $D$11, 100%, $F$11)</f>
        <v>7.2725</v>
      </c>
      <c r="E194" s="12">
        <f>7.2616 * CHOOSE( CONTROL!$C$15, $D$11, 100%, $F$11)</f>
        <v>7.2615999999999996</v>
      </c>
      <c r="F194" s="4">
        <f>7.95 * CHOOSE(CONTROL!$C$15, $D$11, 100%, $F$11)</f>
        <v>7.95</v>
      </c>
      <c r="G194" s="8">
        <f>7.0544 * CHOOSE( CONTROL!$C$15, $D$11, 100%, $F$11)</f>
        <v>7.0544000000000002</v>
      </c>
      <c r="H194" s="4">
        <f>7.9995 * CHOOSE(CONTROL!$C$15, $D$11, 100%, $F$11)</f>
        <v>7.9995000000000003</v>
      </c>
      <c r="I194" s="8">
        <f>7.038 * CHOOSE(CONTROL!$C$15, $D$11, 100%, $F$11)</f>
        <v>7.0380000000000003</v>
      </c>
      <c r="J194" s="4">
        <f>6.9196 * CHOOSE(CONTROL!$C$15, $D$11, 100%, $F$11)</f>
        <v>6.9196</v>
      </c>
      <c r="K194" s="4"/>
      <c r="L194" s="9">
        <v>31.095300000000002</v>
      </c>
      <c r="M194" s="9">
        <v>12.063700000000001</v>
      </c>
      <c r="N194" s="9">
        <v>4.9444999999999997</v>
      </c>
      <c r="O194" s="9">
        <v>0.37409999999999999</v>
      </c>
      <c r="P194" s="9">
        <v>1.2183999999999999</v>
      </c>
      <c r="Q194" s="9">
        <v>31.517700000000001</v>
      </c>
      <c r="R194" s="9"/>
      <c r="S194" s="11"/>
    </row>
    <row r="195" spans="1:19" ht="15.75">
      <c r="A195" s="13">
        <v>47423</v>
      </c>
      <c r="B195" s="8">
        <f>7.8013 * CHOOSE(CONTROL!$C$15, $D$11, 100%, $F$11)</f>
        <v>7.8013000000000003</v>
      </c>
      <c r="C195" s="8">
        <f>7.8064 * CHOOSE(CONTROL!$C$15, $D$11, 100%, $F$11)</f>
        <v>7.8064</v>
      </c>
      <c r="D195" s="8">
        <f>7.7927 * CHOOSE( CONTROL!$C$15, $D$11, 100%, $F$11)</f>
        <v>7.7927</v>
      </c>
      <c r="E195" s="12">
        <f>7.7972 * CHOOSE( CONTROL!$C$15, $D$11, 100%, $F$11)</f>
        <v>7.7972000000000001</v>
      </c>
      <c r="F195" s="4">
        <f>8.4517 * CHOOSE(CONTROL!$C$15, $D$11, 100%, $F$11)</f>
        <v>8.4517000000000007</v>
      </c>
      <c r="G195" s="8">
        <f>7.6146 * CHOOSE( CONTROL!$C$15, $D$11, 100%, $F$11)</f>
        <v>7.6146000000000003</v>
      </c>
      <c r="H195" s="4">
        <f>8.4896 * CHOOSE(CONTROL!$C$15, $D$11, 100%, $F$11)</f>
        <v>8.4895999999999994</v>
      </c>
      <c r="I195" s="8">
        <f>7.6251 * CHOOSE(CONTROL!$C$15, $D$11, 100%, $F$11)</f>
        <v>7.6250999999999998</v>
      </c>
      <c r="J195" s="4">
        <f>7.4628 * CHOOSE(CONTROL!$C$15, $D$11, 100%, $F$11)</f>
        <v>7.4627999999999997</v>
      </c>
      <c r="K195" s="4"/>
      <c r="L195" s="9">
        <v>28.360600000000002</v>
      </c>
      <c r="M195" s="9">
        <v>11.6745</v>
      </c>
      <c r="N195" s="9">
        <v>4.7850000000000001</v>
      </c>
      <c r="O195" s="9">
        <v>0.36199999999999999</v>
      </c>
      <c r="P195" s="9">
        <v>1.2509999999999999</v>
      </c>
      <c r="Q195" s="9">
        <v>30.501000000000001</v>
      </c>
      <c r="R195" s="9"/>
      <c r="S195" s="11"/>
    </row>
    <row r="196" spans="1:19" ht="15.75">
      <c r="A196" s="13">
        <v>47453</v>
      </c>
      <c r="B196" s="8">
        <f>7.7871 * CHOOSE(CONTROL!$C$15, $D$11, 100%, $F$11)</f>
        <v>7.7870999999999997</v>
      </c>
      <c r="C196" s="8">
        <f>7.7923 * CHOOSE(CONTROL!$C$15, $D$11, 100%, $F$11)</f>
        <v>7.7923</v>
      </c>
      <c r="D196" s="8">
        <f>7.78 * CHOOSE( CONTROL!$C$15, $D$11, 100%, $F$11)</f>
        <v>7.78</v>
      </c>
      <c r="E196" s="12">
        <f>7.7839 * CHOOSE( CONTROL!$C$15, $D$11, 100%, $F$11)</f>
        <v>7.7839</v>
      </c>
      <c r="F196" s="4">
        <f>8.4376 * CHOOSE(CONTROL!$C$15, $D$11, 100%, $F$11)</f>
        <v>8.4375999999999998</v>
      </c>
      <c r="G196" s="8">
        <f>7.6019 * CHOOSE( CONTROL!$C$15, $D$11, 100%, $F$11)</f>
        <v>7.6018999999999997</v>
      </c>
      <c r="H196" s="4">
        <f>8.4758 * CHOOSE(CONTROL!$C$15, $D$11, 100%, $F$11)</f>
        <v>8.4757999999999996</v>
      </c>
      <c r="I196" s="8">
        <f>7.6163 * CHOOSE(CONTROL!$C$15, $D$11, 100%, $F$11)</f>
        <v>7.6162999999999998</v>
      </c>
      <c r="J196" s="4">
        <f>7.4492 * CHOOSE(CONTROL!$C$15, $D$11, 100%, $F$11)</f>
        <v>7.4492000000000003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31.517700000000001</v>
      </c>
      <c r="R196" s="9"/>
      <c r="S196" s="11"/>
    </row>
    <row r="197" spans="1:19" ht="15.75">
      <c r="A197" s="13">
        <v>47484</v>
      </c>
      <c r="B197" s="8">
        <f>8.0626 * CHOOSE(CONTROL!$C$15, $D$11, 100%, $F$11)</f>
        <v>8.0625999999999998</v>
      </c>
      <c r="C197" s="8">
        <f>8.0678 * CHOOSE(CONTROL!$C$15, $D$11, 100%, $F$11)</f>
        <v>8.0678000000000001</v>
      </c>
      <c r="D197" s="8">
        <f>8.0502 * CHOOSE( CONTROL!$C$15, $D$11, 100%, $F$11)</f>
        <v>8.0502000000000002</v>
      </c>
      <c r="E197" s="12">
        <f>8.0561 * CHOOSE( CONTROL!$C$15, $D$11, 100%, $F$11)</f>
        <v>8.0561000000000007</v>
      </c>
      <c r="F197" s="4">
        <f>8.713 * CHOOSE(CONTROL!$C$15, $D$11, 100%, $F$11)</f>
        <v>8.7129999999999992</v>
      </c>
      <c r="G197" s="8">
        <f>7.8609 * CHOOSE( CONTROL!$C$15, $D$11, 100%, $F$11)</f>
        <v>7.8609</v>
      </c>
      <c r="H197" s="4">
        <f>8.7448 * CHOOSE(CONTROL!$C$15, $D$11, 100%, $F$11)</f>
        <v>8.7447999999999997</v>
      </c>
      <c r="I197" s="8">
        <f>7.8407 * CHOOSE(CONTROL!$C$15, $D$11, 100%, $F$11)</f>
        <v>7.8407</v>
      </c>
      <c r="J197" s="4">
        <f>7.7137 * CHOOSE(CONTROL!$C$15, $D$11, 100%, $F$11)</f>
        <v>7.7137000000000002</v>
      </c>
      <c r="K197" s="4"/>
      <c r="L197" s="9">
        <v>29.306000000000001</v>
      </c>
      <c r="M197" s="9">
        <v>12.063700000000001</v>
      </c>
      <c r="N197" s="9">
        <v>4.9444999999999997</v>
      </c>
      <c r="O197" s="9">
        <v>0.37409999999999999</v>
      </c>
      <c r="P197" s="9">
        <v>1.2927</v>
      </c>
      <c r="Q197" s="9">
        <v>31.333600000000001</v>
      </c>
      <c r="R197" s="9"/>
      <c r="S197" s="11"/>
    </row>
    <row r="198" spans="1:19" ht="15.75">
      <c r="A198" s="13">
        <v>47515</v>
      </c>
      <c r="B198" s="8">
        <f>7.5432 * CHOOSE(CONTROL!$C$15, $D$11, 100%, $F$11)</f>
        <v>7.5431999999999997</v>
      </c>
      <c r="C198" s="8">
        <f>7.5484 * CHOOSE(CONTROL!$C$15, $D$11, 100%, $F$11)</f>
        <v>7.5484</v>
      </c>
      <c r="D198" s="8">
        <f>7.5307 * CHOOSE( CONTROL!$C$15, $D$11, 100%, $F$11)</f>
        <v>7.5307000000000004</v>
      </c>
      <c r="E198" s="12">
        <f>7.5366 * CHOOSE( CONTROL!$C$15, $D$11, 100%, $F$11)</f>
        <v>7.5366</v>
      </c>
      <c r="F198" s="4">
        <f>8.1936 * CHOOSE(CONTROL!$C$15, $D$11, 100%, $F$11)</f>
        <v>8.1936</v>
      </c>
      <c r="G198" s="8">
        <f>7.3535 * CHOOSE( CONTROL!$C$15, $D$11, 100%, $F$11)</f>
        <v>7.3535000000000004</v>
      </c>
      <c r="H198" s="4">
        <f>8.2375 * CHOOSE(CONTROL!$C$15, $D$11, 100%, $F$11)</f>
        <v>8.2375000000000007</v>
      </c>
      <c r="I198" s="8">
        <f>7.3416 * CHOOSE(CONTROL!$C$15, $D$11, 100%, $F$11)</f>
        <v>7.3415999999999997</v>
      </c>
      <c r="J198" s="4">
        <f>7.215 * CHOOSE(CONTROL!$C$15, $D$11, 100%, $F$11)</f>
        <v>7.2149999999999999</v>
      </c>
      <c r="K198" s="4"/>
      <c r="L198" s="9">
        <v>26.469899999999999</v>
      </c>
      <c r="M198" s="9">
        <v>10.8962</v>
      </c>
      <c r="N198" s="9">
        <v>4.4660000000000002</v>
      </c>
      <c r="O198" s="9">
        <v>0.33789999999999998</v>
      </c>
      <c r="P198" s="9">
        <v>1.1676</v>
      </c>
      <c r="Q198" s="9">
        <v>28.301300000000001</v>
      </c>
      <c r="R198" s="9"/>
      <c r="S198" s="11"/>
    </row>
    <row r="199" spans="1:19" ht="15.75">
      <c r="A199" s="13">
        <v>47543</v>
      </c>
      <c r="B199" s="8">
        <f>7.3832 * CHOOSE(CONTROL!$C$15, $D$11, 100%, $F$11)</f>
        <v>7.3832000000000004</v>
      </c>
      <c r="C199" s="8">
        <f>7.3884 * CHOOSE(CONTROL!$C$15, $D$11, 100%, $F$11)</f>
        <v>7.3883999999999999</v>
      </c>
      <c r="D199" s="8">
        <f>7.3704 * CHOOSE( CONTROL!$C$15, $D$11, 100%, $F$11)</f>
        <v>7.3704000000000001</v>
      </c>
      <c r="E199" s="12">
        <f>7.3764 * CHOOSE( CONTROL!$C$15, $D$11, 100%, $F$11)</f>
        <v>7.3764000000000003</v>
      </c>
      <c r="F199" s="4">
        <f>8.0337 * CHOOSE(CONTROL!$C$15, $D$11, 100%, $F$11)</f>
        <v>8.0336999999999996</v>
      </c>
      <c r="G199" s="8">
        <f>7.197 * CHOOSE( CONTROL!$C$15, $D$11, 100%, $F$11)</f>
        <v>7.1970000000000001</v>
      </c>
      <c r="H199" s="4">
        <f>8.0813 * CHOOSE(CONTROL!$C$15, $D$11, 100%, $F$11)</f>
        <v>8.0813000000000006</v>
      </c>
      <c r="I199" s="8">
        <f>7.1868 * CHOOSE(CONTROL!$C$15, $D$11, 100%, $F$11)</f>
        <v>7.1867999999999999</v>
      </c>
      <c r="J199" s="4">
        <f>7.0614 * CHOOSE(CONTROL!$C$15, $D$11, 100%, $F$11)</f>
        <v>7.0613999999999999</v>
      </c>
      <c r="K199" s="4"/>
      <c r="L199" s="9">
        <v>29.306000000000001</v>
      </c>
      <c r="M199" s="9">
        <v>12.063700000000001</v>
      </c>
      <c r="N199" s="9">
        <v>4.9444999999999997</v>
      </c>
      <c r="O199" s="9">
        <v>0.37409999999999999</v>
      </c>
      <c r="P199" s="9">
        <v>1.2927</v>
      </c>
      <c r="Q199" s="9">
        <v>31.333600000000001</v>
      </c>
      <c r="R199" s="9"/>
      <c r="S199" s="11"/>
    </row>
    <row r="200" spans="1:19" ht="15.75">
      <c r="A200" s="13">
        <v>47574</v>
      </c>
      <c r="B200" s="8">
        <f>7.4957 * CHOOSE(CONTROL!$C$15, $D$11, 100%, $F$11)</f>
        <v>7.4957000000000003</v>
      </c>
      <c r="C200" s="8">
        <f>7.5004 * CHOOSE(CONTROL!$C$15, $D$11, 100%, $F$11)</f>
        <v>7.5004</v>
      </c>
      <c r="D200" s="8">
        <f>7.5315 * CHOOSE( CONTROL!$C$15, $D$11, 100%, $F$11)</f>
        <v>7.5315000000000003</v>
      </c>
      <c r="E200" s="12">
        <f>7.5207 * CHOOSE( CONTROL!$C$15, $D$11, 100%, $F$11)</f>
        <v>7.5206999999999997</v>
      </c>
      <c r="F200" s="4">
        <f>8.2095 * CHOOSE(CONTROL!$C$15, $D$11, 100%, $F$11)</f>
        <v>8.2095000000000002</v>
      </c>
      <c r="G200" s="8">
        <f>7.307 * CHOOSE( CONTROL!$C$15, $D$11, 100%, $F$11)</f>
        <v>7.3070000000000004</v>
      </c>
      <c r="H200" s="4">
        <f>8.253 * CHOOSE(CONTROL!$C$15, $D$11, 100%, $F$11)</f>
        <v>8.2530000000000001</v>
      </c>
      <c r="I200" s="8">
        <f>7.2847 * CHOOSE(CONTROL!$C$15, $D$11, 100%, $F$11)</f>
        <v>7.2847</v>
      </c>
      <c r="J200" s="4">
        <f>7.1687 * CHOOSE(CONTROL!$C$15, $D$11, 100%, $F$11)</f>
        <v>7.1687000000000003</v>
      </c>
      <c r="K200" s="4"/>
      <c r="L200" s="9">
        <v>30.092199999999998</v>
      </c>
      <c r="M200" s="9">
        <v>11.6745</v>
      </c>
      <c r="N200" s="9">
        <v>4.7850000000000001</v>
      </c>
      <c r="O200" s="9">
        <v>0.36199999999999999</v>
      </c>
      <c r="P200" s="9">
        <v>1.1791</v>
      </c>
      <c r="Q200" s="9">
        <v>30.322800000000001</v>
      </c>
      <c r="R200" s="9"/>
      <c r="S200" s="11"/>
    </row>
    <row r="201" spans="1:19" ht="15.75">
      <c r="A201" s="13">
        <v>47604</v>
      </c>
      <c r="B201" s="8">
        <f>CHOOSE( CONTROL!$C$32, 7.7016, 7.6961) * CHOOSE(CONTROL!$C$15, $D$11, 100%, $F$11)</f>
        <v>7.7016</v>
      </c>
      <c r="C201" s="8">
        <f>CHOOSE( CONTROL!$C$32, 7.7097, 7.7041) * CHOOSE(CONTROL!$C$15, $D$11, 100%, $F$11)</f>
        <v>7.7096999999999998</v>
      </c>
      <c r="D201" s="8">
        <f>CHOOSE( CONTROL!$C$32, 7.7357, 7.7301) * CHOOSE( CONTROL!$C$15, $D$11, 100%, $F$11)</f>
        <v>7.7356999999999996</v>
      </c>
      <c r="E201" s="12">
        <f>CHOOSE( CONTROL!$C$32, 7.725, 7.7195) * CHOOSE( CONTROL!$C$15, $D$11, 100%, $F$11)</f>
        <v>7.7249999999999996</v>
      </c>
      <c r="F201" s="4">
        <f>CHOOSE( CONTROL!$C$32, 8.414, 8.4085) * CHOOSE(CONTROL!$C$15, $D$11, 100%, $F$11)</f>
        <v>8.4139999999999997</v>
      </c>
      <c r="G201" s="8">
        <f>CHOOSE( CONTROL!$C$32, 7.5079, 7.5025) * CHOOSE( CONTROL!$C$15, $D$11, 100%, $F$11)</f>
        <v>7.5079000000000002</v>
      </c>
      <c r="H201" s="4">
        <f>CHOOSE( CONTROL!$C$32, 8.4528, 8.4473) * CHOOSE(CONTROL!$C$15, $D$11, 100%, $F$11)</f>
        <v>8.4527999999999999</v>
      </c>
      <c r="I201" s="8">
        <f>CHOOSE( CONTROL!$C$32, 7.4811, 7.4757) * CHOOSE(CONTROL!$C$15, $D$11, 100%, $F$11)</f>
        <v>7.4810999999999996</v>
      </c>
      <c r="J201" s="4">
        <f>CHOOSE( CONTROL!$C$32, 7.3651, 7.3598) * CHOOSE(CONTROL!$C$15, $D$11, 100%, $F$11)</f>
        <v>7.3651</v>
      </c>
      <c r="K201" s="4"/>
      <c r="L201" s="9">
        <v>30.7165</v>
      </c>
      <c r="M201" s="9">
        <v>12.063700000000001</v>
      </c>
      <c r="N201" s="9">
        <v>4.9444999999999997</v>
      </c>
      <c r="O201" s="9">
        <v>0.37409999999999999</v>
      </c>
      <c r="P201" s="9">
        <v>1.2183999999999999</v>
      </c>
      <c r="Q201" s="9">
        <v>31.333600000000001</v>
      </c>
      <c r="R201" s="9"/>
      <c r="S201" s="11"/>
    </row>
    <row r="202" spans="1:19" ht="15.75">
      <c r="A202" s="13">
        <v>47635</v>
      </c>
      <c r="B202" s="8">
        <f>CHOOSE( CONTROL!$C$32, 7.5784, 7.5728) * CHOOSE(CONTROL!$C$15, $D$11, 100%, $F$11)</f>
        <v>7.5784000000000002</v>
      </c>
      <c r="C202" s="8">
        <f>CHOOSE( CONTROL!$C$32, 7.5865, 7.5809) * CHOOSE(CONTROL!$C$15, $D$11, 100%, $F$11)</f>
        <v>7.5865</v>
      </c>
      <c r="D202" s="8">
        <f>CHOOSE( CONTROL!$C$32, 7.6126, 7.607) * CHOOSE( CONTROL!$C$15, $D$11, 100%, $F$11)</f>
        <v>7.6125999999999996</v>
      </c>
      <c r="E202" s="12">
        <f>CHOOSE( CONTROL!$C$32, 7.6019, 7.5963) * CHOOSE( CONTROL!$C$15, $D$11, 100%, $F$11)</f>
        <v>7.6018999999999997</v>
      </c>
      <c r="F202" s="4">
        <f>CHOOSE( CONTROL!$C$32, 8.2908, 8.2852) * CHOOSE(CONTROL!$C$15, $D$11, 100%, $F$11)</f>
        <v>8.2908000000000008</v>
      </c>
      <c r="G202" s="8">
        <f>CHOOSE( CONTROL!$C$32, 7.3878, 7.3823) * CHOOSE( CONTROL!$C$15, $D$11, 100%, $F$11)</f>
        <v>7.3878000000000004</v>
      </c>
      <c r="H202" s="4">
        <f>CHOOSE( CONTROL!$C$32, 8.3324, 8.327) * CHOOSE(CONTROL!$C$15, $D$11, 100%, $F$11)</f>
        <v>8.3323999999999998</v>
      </c>
      <c r="I202" s="8">
        <f>CHOOSE( CONTROL!$C$32, 7.3635, 7.3581) * CHOOSE(CONTROL!$C$15, $D$11, 100%, $F$11)</f>
        <v>7.3635000000000002</v>
      </c>
      <c r="J202" s="4">
        <f>CHOOSE( CONTROL!$C$32, 7.2468, 7.2414) * CHOOSE(CONTROL!$C$15, $D$11, 100%, $F$11)</f>
        <v>7.2468000000000004</v>
      </c>
      <c r="K202" s="4"/>
      <c r="L202" s="9">
        <v>29.7257</v>
      </c>
      <c r="M202" s="9">
        <v>11.6745</v>
      </c>
      <c r="N202" s="9">
        <v>4.7850000000000001</v>
      </c>
      <c r="O202" s="9">
        <v>0.36199999999999999</v>
      </c>
      <c r="P202" s="9">
        <v>1.1791</v>
      </c>
      <c r="Q202" s="9">
        <v>30.322800000000001</v>
      </c>
      <c r="R202" s="9"/>
      <c r="S202" s="11"/>
    </row>
    <row r="203" spans="1:19" ht="15.75">
      <c r="A203" s="13">
        <v>47665</v>
      </c>
      <c r="B203" s="8">
        <f>CHOOSE( CONTROL!$C$32, 7.9029, 7.8974) * CHOOSE(CONTROL!$C$15, $D$11, 100%, $F$11)</f>
        <v>7.9028999999999998</v>
      </c>
      <c r="C203" s="8">
        <f>CHOOSE( CONTROL!$C$32, 7.911, 7.9055) * CHOOSE(CONTROL!$C$15, $D$11, 100%, $F$11)</f>
        <v>7.9109999999999996</v>
      </c>
      <c r="D203" s="8">
        <f>CHOOSE( CONTROL!$C$32, 7.9374, 7.9318) * CHOOSE( CONTROL!$C$15, $D$11, 100%, $F$11)</f>
        <v>7.9374000000000002</v>
      </c>
      <c r="E203" s="12">
        <f>CHOOSE( CONTROL!$C$32, 7.9266, 7.921) * CHOOSE( CONTROL!$C$15, $D$11, 100%, $F$11)</f>
        <v>7.9265999999999996</v>
      </c>
      <c r="F203" s="4">
        <f>CHOOSE( CONTROL!$C$32, 8.6153, 8.6098) * CHOOSE(CONTROL!$C$15, $D$11, 100%, $F$11)</f>
        <v>8.6152999999999995</v>
      </c>
      <c r="G203" s="8">
        <f>CHOOSE( CONTROL!$C$32, 7.7051, 7.6996) * CHOOSE( CONTROL!$C$15, $D$11, 100%, $F$11)</f>
        <v>7.7050999999999998</v>
      </c>
      <c r="H203" s="4">
        <f>CHOOSE( CONTROL!$C$32, 8.6494, 8.6439) * CHOOSE(CONTROL!$C$15, $D$11, 100%, $F$11)</f>
        <v>8.6494</v>
      </c>
      <c r="I203" s="8">
        <f>CHOOSE( CONTROL!$C$32, 7.6762, 7.6708) * CHOOSE(CONTROL!$C$15, $D$11, 100%, $F$11)</f>
        <v>7.6761999999999997</v>
      </c>
      <c r="J203" s="4">
        <f>CHOOSE( CONTROL!$C$32, 7.5584, 7.553) * CHOOSE(CONTROL!$C$15, $D$11, 100%, $F$11)</f>
        <v>7.5583999999999998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1.2183999999999999</v>
      </c>
      <c r="Q203" s="9">
        <v>31.333600000000001</v>
      </c>
      <c r="R203" s="9"/>
      <c r="S203" s="11"/>
    </row>
    <row r="204" spans="1:19" ht="15.75">
      <c r="A204" s="13">
        <v>47696</v>
      </c>
      <c r="B204" s="8">
        <f>CHOOSE( CONTROL!$C$32, 7.2957, 7.2901) * CHOOSE(CONTROL!$C$15, $D$11, 100%, $F$11)</f>
        <v>7.2957000000000001</v>
      </c>
      <c r="C204" s="8">
        <f>CHOOSE( CONTROL!$C$32, 7.3038, 7.2982) * CHOOSE(CONTROL!$C$15, $D$11, 100%, $F$11)</f>
        <v>7.3037999999999998</v>
      </c>
      <c r="D204" s="8">
        <f>CHOOSE( CONTROL!$C$32, 7.3302, 7.3246) * CHOOSE( CONTROL!$C$15, $D$11, 100%, $F$11)</f>
        <v>7.3301999999999996</v>
      </c>
      <c r="E204" s="12">
        <f>CHOOSE( CONTROL!$C$32, 7.3194, 7.3138) * CHOOSE( CONTROL!$C$15, $D$11, 100%, $F$11)</f>
        <v>7.3193999999999999</v>
      </c>
      <c r="F204" s="4">
        <f>CHOOSE( CONTROL!$C$32, 8.0081, 8.0025) * CHOOSE(CONTROL!$C$15, $D$11, 100%, $F$11)</f>
        <v>8.0081000000000007</v>
      </c>
      <c r="G204" s="8">
        <f>CHOOSE( CONTROL!$C$32, 7.112, 7.1066) * CHOOSE( CONTROL!$C$15, $D$11, 100%, $F$11)</f>
        <v>7.1120000000000001</v>
      </c>
      <c r="H204" s="4">
        <f>CHOOSE( CONTROL!$C$32, 8.0563, 8.0508) * CHOOSE(CONTROL!$C$15, $D$11, 100%, $F$11)</f>
        <v>8.0563000000000002</v>
      </c>
      <c r="I204" s="8">
        <f>CHOOSE( CONTROL!$C$32, 7.0931, 7.0878) * CHOOSE(CONTROL!$C$15, $D$11, 100%, $F$11)</f>
        <v>7.0930999999999997</v>
      </c>
      <c r="J204" s="4">
        <f>CHOOSE( CONTROL!$C$32, 6.9753, 6.97) * CHOOSE(CONTROL!$C$15, $D$11, 100%, $F$11)</f>
        <v>6.9752999999999998</v>
      </c>
      <c r="K204" s="4"/>
      <c r="L204" s="9">
        <v>30.7165</v>
      </c>
      <c r="M204" s="9">
        <v>12.063700000000001</v>
      </c>
      <c r="N204" s="9">
        <v>4.9444999999999997</v>
      </c>
      <c r="O204" s="9">
        <v>0.37409999999999999</v>
      </c>
      <c r="P204" s="9">
        <v>1.2183999999999999</v>
      </c>
      <c r="Q204" s="9">
        <v>31.333600000000001</v>
      </c>
      <c r="R204" s="9"/>
      <c r="S204" s="11"/>
    </row>
    <row r="205" spans="1:19" ht="15.75">
      <c r="A205" s="13">
        <v>47727</v>
      </c>
      <c r="B205" s="8">
        <f>CHOOSE( CONTROL!$C$32, 7.1436, 7.138) * CHOOSE(CONTROL!$C$15, $D$11, 100%, $F$11)</f>
        <v>7.1436000000000002</v>
      </c>
      <c r="C205" s="8">
        <f>CHOOSE( CONTROL!$C$32, 7.1517, 7.1461) * CHOOSE(CONTROL!$C$15, $D$11, 100%, $F$11)</f>
        <v>7.1516999999999999</v>
      </c>
      <c r="D205" s="8">
        <f>CHOOSE( CONTROL!$C$32, 7.178, 7.1725) * CHOOSE( CONTROL!$C$15, $D$11, 100%, $F$11)</f>
        <v>7.1779999999999999</v>
      </c>
      <c r="E205" s="12">
        <f>CHOOSE( CONTROL!$C$32, 7.1672, 7.1617) * CHOOSE( CONTROL!$C$15, $D$11, 100%, $F$11)</f>
        <v>7.1672000000000002</v>
      </c>
      <c r="F205" s="4">
        <f>CHOOSE( CONTROL!$C$32, 7.856, 7.8504) * CHOOSE(CONTROL!$C$15, $D$11, 100%, $F$11)</f>
        <v>7.8559999999999999</v>
      </c>
      <c r="G205" s="8">
        <f>CHOOSE( CONTROL!$C$32, 6.9634, 6.958) * CHOOSE( CONTROL!$C$15, $D$11, 100%, $F$11)</f>
        <v>6.9634</v>
      </c>
      <c r="H205" s="4">
        <f>CHOOSE( CONTROL!$C$32, 7.9077, 7.9023) * CHOOSE(CONTROL!$C$15, $D$11, 100%, $F$11)</f>
        <v>7.9077000000000002</v>
      </c>
      <c r="I205" s="8">
        <f>CHOOSE( CONTROL!$C$32, 6.9468, 6.9415) * CHOOSE(CONTROL!$C$15, $D$11, 100%, $F$11)</f>
        <v>6.9467999999999996</v>
      </c>
      <c r="J205" s="4">
        <f>CHOOSE( CONTROL!$C$32, 6.8293, 6.824) * CHOOSE(CONTROL!$C$15, $D$11, 100%, $F$11)</f>
        <v>6.8292999999999999</v>
      </c>
      <c r="K205" s="4"/>
      <c r="L205" s="9">
        <v>29.7257</v>
      </c>
      <c r="M205" s="9">
        <v>11.6745</v>
      </c>
      <c r="N205" s="9">
        <v>4.7850000000000001</v>
      </c>
      <c r="O205" s="9">
        <v>0.36199999999999999</v>
      </c>
      <c r="P205" s="9">
        <v>1.1791</v>
      </c>
      <c r="Q205" s="9">
        <v>30.322800000000001</v>
      </c>
      <c r="R205" s="9"/>
      <c r="S205" s="11"/>
    </row>
    <row r="206" spans="1:19" ht="15.75">
      <c r="A206" s="13">
        <v>47757</v>
      </c>
      <c r="B206" s="8">
        <f>7.4521 * CHOOSE(CONTROL!$C$15, $D$11, 100%, $F$11)</f>
        <v>7.4520999999999997</v>
      </c>
      <c r="C206" s="8">
        <f>7.4575 * CHOOSE(CONTROL!$C$15, $D$11, 100%, $F$11)</f>
        <v>7.4574999999999996</v>
      </c>
      <c r="D206" s="8">
        <f>7.4887 * CHOOSE( CONTROL!$C$15, $D$11, 100%, $F$11)</f>
        <v>7.4886999999999997</v>
      </c>
      <c r="E206" s="12">
        <f>7.4778 * CHOOSE( CONTROL!$C$15, $D$11, 100%, $F$11)</f>
        <v>7.4778000000000002</v>
      </c>
      <c r="F206" s="4">
        <f>8.1662 * CHOOSE(CONTROL!$C$15, $D$11, 100%, $F$11)</f>
        <v>8.1661999999999999</v>
      </c>
      <c r="G206" s="8">
        <f>7.2655 * CHOOSE( CONTROL!$C$15, $D$11, 100%, $F$11)</f>
        <v>7.2655000000000003</v>
      </c>
      <c r="H206" s="4">
        <f>8.2107 * CHOOSE(CONTROL!$C$15, $D$11, 100%, $F$11)</f>
        <v>8.2106999999999992</v>
      </c>
      <c r="I206" s="8">
        <f>7.2457 * CHOOSE(CONTROL!$C$15, $D$11, 100%, $F$11)</f>
        <v>7.2457000000000003</v>
      </c>
      <c r="J206" s="4">
        <f>7.1271 * CHOOSE(CONTROL!$C$15, $D$11, 100%, $F$11)</f>
        <v>7.1271000000000004</v>
      </c>
      <c r="K206" s="4"/>
      <c r="L206" s="9">
        <v>31.095300000000002</v>
      </c>
      <c r="M206" s="9">
        <v>12.063700000000001</v>
      </c>
      <c r="N206" s="9">
        <v>4.9444999999999997</v>
      </c>
      <c r="O206" s="9">
        <v>0.37409999999999999</v>
      </c>
      <c r="P206" s="9">
        <v>1.2183999999999999</v>
      </c>
      <c r="Q206" s="9">
        <v>31.333600000000001</v>
      </c>
      <c r="R206" s="9"/>
      <c r="S206" s="11"/>
    </row>
    <row r="207" spans="1:19" ht="15.75">
      <c r="A207" s="13">
        <v>47788</v>
      </c>
      <c r="B207" s="8">
        <f>8.0344 * CHOOSE(CONTROL!$C$15, $D$11, 100%, $F$11)</f>
        <v>8.0343999999999998</v>
      </c>
      <c r="C207" s="8">
        <f>8.0396 * CHOOSE(CONTROL!$C$15, $D$11, 100%, $F$11)</f>
        <v>8.0396000000000001</v>
      </c>
      <c r="D207" s="8">
        <f>8.0259 * CHOOSE( CONTROL!$C$15, $D$11, 100%, $F$11)</f>
        <v>8.0259</v>
      </c>
      <c r="E207" s="12">
        <f>8.0304 * CHOOSE( CONTROL!$C$15, $D$11, 100%, $F$11)</f>
        <v>8.0304000000000002</v>
      </c>
      <c r="F207" s="4">
        <f>8.6849 * CHOOSE(CONTROL!$C$15, $D$11, 100%, $F$11)</f>
        <v>8.6849000000000007</v>
      </c>
      <c r="G207" s="8">
        <f>7.8423 * CHOOSE( CONTROL!$C$15, $D$11, 100%, $F$11)</f>
        <v>7.8422999999999998</v>
      </c>
      <c r="H207" s="4">
        <f>8.7173 * CHOOSE(CONTROL!$C$15, $D$11, 100%, $F$11)</f>
        <v>8.7172999999999998</v>
      </c>
      <c r="I207" s="8">
        <f>7.8491 * CHOOSE(CONTROL!$C$15, $D$11, 100%, $F$11)</f>
        <v>7.8491</v>
      </c>
      <c r="J207" s="4">
        <f>7.6867 * CHOOSE(CONTROL!$C$15, $D$11, 100%, $F$11)</f>
        <v>7.6867000000000001</v>
      </c>
      <c r="K207" s="4"/>
      <c r="L207" s="9">
        <v>28.360600000000002</v>
      </c>
      <c r="M207" s="9">
        <v>11.6745</v>
      </c>
      <c r="N207" s="9">
        <v>4.7850000000000001</v>
      </c>
      <c r="O207" s="9">
        <v>0.36199999999999999</v>
      </c>
      <c r="P207" s="9">
        <v>1.2509999999999999</v>
      </c>
      <c r="Q207" s="9">
        <v>30.322800000000001</v>
      </c>
      <c r="R207" s="9"/>
      <c r="S207" s="11"/>
    </row>
    <row r="208" spans="1:19" ht="15.75">
      <c r="A208" s="13">
        <v>47818</v>
      </c>
      <c r="B208" s="8">
        <f>8.0199 * CHOOSE(CONTROL!$C$15, $D$11, 100%, $F$11)</f>
        <v>8.0198999999999998</v>
      </c>
      <c r="C208" s="8">
        <f>8.0251 * CHOOSE(CONTROL!$C$15, $D$11, 100%, $F$11)</f>
        <v>8.0251000000000001</v>
      </c>
      <c r="D208" s="8">
        <f>8.0128 * CHOOSE( CONTROL!$C$15, $D$11, 100%, $F$11)</f>
        <v>8.0128000000000004</v>
      </c>
      <c r="E208" s="12">
        <f>8.0167 * CHOOSE( CONTROL!$C$15, $D$11, 100%, $F$11)</f>
        <v>8.0167000000000002</v>
      </c>
      <c r="F208" s="4">
        <f>8.6703 * CHOOSE(CONTROL!$C$15, $D$11, 100%, $F$11)</f>
        <v>8.6702999999999992</v>
      </c>
      <c r="G208" s="8">
        <f>7.8292 * CHOOSE( CONTROL!$C$15, $D$11, 100%, $F$11)</f>
        <v>7.8292000000000002</v>
      </c>
      <c r="H208" s="4">
        <f>8.7031 * CHOOSE(CONTROL!$C$15, $D$11, 100%, $F$11)</f>
        <v>8.7030999999999992</v>
      </c>
      <c r="I208" s="8">
        <f>7.8399 * CHOOSE(CONTROL!$C$15, $D$11, 100%, $F$11)</f>
        <v>7.8399000000000001</v>
      </c>
      <c r="J208" s="4">
        <f>7.6727 * CHOOSE(CONTROL!$C$15, $D$11, 100%, $F$11)</f>
        <v>7.6726999999999999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31.333600000000001</v>
      </c>
      <c r="R208" s="9"/>
      <c r="S208" s="11"/>
    </row>
    <row r="209" spans="1:19" ht="15.75">
      <c r="A209" s="13">
        <v>47849</v>
      </c>
      <c r="B209" s="8">
        <f>8.3028 * CHOOSE(CONTROL!$C$15, $D$11, 100%, $F$11)</f>
        <v>8.3027999999999995</v>
      </c>
      <c r="C209" s="8">
        <f>8.308 * CHOOSE(CONTROL!$C$15, $D$11, 100%, $F$11)</f>
        <v>8.3079999999999998</v>
      </c>
      <c r="D209" s="8">
        <f>8.2904 * CHOOSE( CONTROL!$C$15, $D$11, 100%, $F$11)</f>
        <v>8.2904</v>
      </c>
      <c r="E209" s="12">
        <f>8.2963 * CHOOSE( CONTROL!$C$15, $D$11, 100%, $F$11)</f>
        <v>8.2963000000000005</v>
      </c>
      <c r="F209" s="4">
        <f>8.9533 * CHOOSE(CONTROL!$C$15, $D$11, 100%, $F$11)</f>
        <v>8.9533000000000005</v>
      </c>
      <c r="G209" s="8">
        <f>8.0955 * CHOOSE( CONTROL!$C$15, $D$11, 100%, $F$11)</f>
        <v>8.0954999999999995</v>
      </c>
      <c r="H209" s="4">
        <f>8.9795 * CHOOSE(CONTROL!$C$15, $D$11, 100%, $F$11)</f>
        <v>8.9794999999999998</v>
      </c>
      <c r="I209" s="8">
        <f>8.0715 * CHOOSE(CONTROL!$C$15, $D$11, 100%, $F$11)</f>
        <v>8.0715000000000003</v>
      </c>
      <c r="J209" s="4">
        <f>7.9444 * CHOOSE(CONTROL!$C$15, $D$11, 100%, $F$11)</f>
        <v>7.9443999999999999</v>
      </c>
      <c r="K209" s="4"/>
      <c r="L209" s="9">
        <v>29.306000000000001</v>
      </c>
      <c r="M209" s="9">
        <v>12.063700000000001</v>
      </c>
      <c r="N209" s="9">
        <v>4.9444999999999997</v>
      </c>
      <c r="O209" s="9">
        <v>0.37409999999999999</v>
      </c>
      <c r="P209" s="9">
        <v>1.2927</v>
      </c>
      <c r="Q209" s="9">
        <v>31.026700000000002</v>
      </c>
      <c r="R209" s="9"/>
      <c r="S209" s="11"/>
    </row>
    <row r="210" spans="1:19" ht="15.75">
      <c r="A210" s="13">
        <v>47880</v>
      </c>
      <c r="B210" s="8">
        <f>7.7679 * CHOOSE(CONTROL!$C$15, $D$11, 100%, $F$11)</f>
        <v>7.7679</v>
      </c>
      <c r="C210" s="8">
        <f>7.7731 * CHOOSE(CONTROL!$C$15, $D$11, 100%, $F$11)</f>
        <v>7.7731000000000003</v>
      </c>
      <c r="D210" s="8">
        <f>7.7554 * CHOOSE( CONTROL!$C$15, $D$11, 100%, $F$11)</f>
        <v>7.7553999999999998</v>
      </c>
      <c r="E210" s="12">
        <f>7.7613 * CHOOSE( CONTROL!$C$15, $D$11, 100%, $F$11)</f>
        <v>7.7613000000000003</v>
      </c>
      <c r="F210" s="4">
        <f>8.4183 * CHOOSE(CONTROL!$C$15, $D$11, 100%, $F$11)</f>
        <v>8.4183000000000003</v>
      </c>
      <c r="G210" s="8">
        <f>7.573 * CHOOSE( CONTROL!$C$15, $D$11, 100%, $F$11)</f>
        <v>7.5730000000000004</v>
      </c>
      <c r="H210" s="4">
        <f>8.457 * CHOOSE(CONTROL!$C$15, $D$11, 100%, $F$11)</f>
        <v>8.4570000000000007</v>
      </c>
      <c r="I210" s="8">
        <f>7.5575 * CHOOSE(CONTROL!$C$15, $D$11, 100%, $F$11)</f>
        <v>7.5575000000000001</v>
      </c>
      <c r="J210" s="4">
        <f>7.4308 * CHOOSE(CONTROL!$C$15, $D$11, 100%, $F$11)</f>
        <v>7.4307999999999996</v>
      </c>
      <c r="K210" s="4"/>
      <c r="L210" s="9">
        <v>26.469899999999999</v>
      </c>
      <c r="M210" s="9">
        <v>10.8962</v>
      </c>
      <c r="N210" s="9">
        <v>4.4660000000000002</v>
      </c>
      <c r="O210" s="9">
        <v>0.33789999999999998</v>
      </c>
      <c r="P210" s="9">
        <v>1.1676</v>
      </c>
      <c r="Q210" s="9">
        <v>28.024100000000001</v>
      </c>
      <c r="R210" s="9"/>
      <c r="S210" s="11"/>
    </row>
    <row r="211" spans="1:19" ht="15.75">
      <c r="A211" s="13">
        <v>47908</v>
      </c>
      <c r="B211" s="8">
        <f>7.6031 * CHOOSE(CONTROL!$C$15, $D$11, 100%, $F$11)</f>
        <v>7.6031000000000004</v>
      </c>
      <c r="C211" s="8">
        <f>7.6083 * CHOOSE(CONTROL!$C$15, $D$11, 100%, $F$11)</f>
        <v>7.6082999999999998</v>
      </c>
      <c r="D211" s="8">
        <f>7.5903 * CHOOSE( CONTROL!$C$15, $D$11, 100%, $F$11)</f>
        <v>7.5903</v>
      </c>
      <c r="E211" s="12">
        <f>7.5963 * CHOOSE( CONTROL!$C$15, $D$11, 100%, $F$11)</f>
        <v>7.5963000000000003</v>
      </c>
      <c r="F211" s="4">
        <f>8.2536 * CHOOSE(CONTROL!$C$15, $D$11, 100%, $F$11)</f>
        <v>8.2536000000000005</v>
      </c>
      <c r="G211" s="8">
        <f>7.4118 * CHOOSE( CONTROL!$C$15, $D$11, 100%, $F$11)</f>
        <v>7.4118000000000004</v>
      </c>
      <c r="H211" s="4">
        <f>8.2961 * CHOOSE(CONTROL!$C$15, $D$11, 100%, $F$11)</f>
        <v>8.2960999999999991</v>
      </c>
      <c r="I211" s="8">
        <f>7.398 * CHOOSE(CONTROL!$C$15, $D$11, 100%, $F$11)</f>
        <v>7.3979999999999997</v>
      </c>
      <c r="J211" s="4">
        <f>7.2726 * CHOOSE(CONTROL!$C$15, $D$11, 100%, $F$11)</f>
        <v>7.2725999999999997</v>
      </c>
      <c r="K211" s="4"/>
      <c r="L211" s="9">
        <v>29.306000000000001</v>
      </c>
      <c r="M211" s="9">
        <v>12.063700000000001</v>
      </c>
      <c r="N211" s="9">
        <v>4.9444999999999997</v>
      </c>
      <c r="O211" s="9">
        <v>0.37409999999999999</v>
      </c>
      <c r="P211" s="9">
        <v>1.2927</v>
      </c>
      <c r="Q211" s="9">
        <v>31.026700000000002</v>
      </c>
      <c r="R211" s="9"/>
      <c r="S211" s="11"/>
    </row>
    <row r="212" spans="1:19" ht="15.75">
      <c r="A212" s="13">
        <v>47939</v>
      </c>
      <c r="B212" s="8">
        <f>7.719 * CHOOSE(CONTROL!$C$15, $D$11, 100%, $F$11)</f>
        <v>7.7190000000000003</v>
      </c>
      <c r="C212" s="8">
        <f>7.7236 * CHOOSE(CONTROL!$C$15, $D$11, 100%, $F$11)</f>
        <v>7.7236000000000002</v>
      </c>
      <c r="D212" s="8">
        <f>7.7548 * CHOOSE( CONTROL!$C$15, $D$11, 100%, $F$11)</f>
        <v>7.7548000000000004</v>
      </c>
      <c r="E212" s="12">
        <f>7.744 * CHOOSE( CONTROL!$C$15, $D$11, 100%, $F$11)</f>
        <v>7.7439999999999998</v>
      </c>
      <c r="F212" s="4">
        <f>8.4328 * CHOOSE(CONTROL!$C$15, $D$11, 100%, $F$11)</f>
        <v>8.4328000000000003</v>
      </c>
      <c r="G212" s="8">
        <f>7.5251 * CHOOSE( CONTROL!$C$15, $D$11, 100%, $F$11)</f>
        <v>7.5251000000000001</v>
      </c>
      <c r="H212" s="4">
        <f>8.4711 * CHOOSE(CONTROL!$C$15, $D$11, 100%, $F$11)</f>
        <v>8.4710999999999999</v>
      </c>
      <c r="I212" s="8">
        <f>7.4991 * CHOOSE(CONTROL!$C$15, $D$11, 100%, $F$11)</f>
        <v>7.4991000000000003</v>
      </c>
      <c r="J212" s="4">
        <f>7.3831 * CHOOSE(CONTROL!$C$15, $D$11, 100%, $F$11)</f>
        <v>7.3830999999999998</v>
      </c>
      <c r="K212" s="4"/>
      <c r="L212" s="9">
        <v>30.092199999999998</v>
      </c>
      <c r="M212" s="9">
        <v>11.6745</v>
      </c>
      <c r="N212" s="9">
        <v>4.7850000000000001</v>
      </c>
      <c r="O212" s="9">
        <v>0.36199999999999999</v>
      </c>
      <c r="P212" s="9">
        <v>1.1791</v>
      </c>
      <c r="Q212" s="9">
        <v>30.0258</v>
      </c>
      <c r="R212" s="9"/>
      <c r="S212" s="11"/>
    </row>
    <row r="213" spans="1:19" ht="15.75">
      <c r="A213" s="13">
        <v>47969</v>
      </c>
      <c r="B213" s="8">
        <f>CHOOSE( CONTROL!$C$32, 7.9309, 7.9253) * CHOOSE(CONTROL!$C$15, $D$11, 100%, $F$11)</f>
        <v>7.9309000000000003</v>
      </c>
      <c r="C213" s="8">
        <f>CHOOSE( CONTROL!$C$32, 7.9389, 7.9334) * CHOOSE(CONTROL!$C$15, $D$11, 100%, $F$11)</f>
        <v>7.9389000000000003</v>
      </c>
      <c r="D213" s="8">
        <f>CHOOSE( CONTROL!$C$32, 7.9649, 7.9593) * CHOOSE( CONTROL!$C$15, $D$11, 100%, $F$11)</f>
        <v>7.9649000000000001</v>
      </c>
      <c r="E213" s="12">
        <f>CHOOSE( CONTROL!$C$32, 7.9543, 7.9487) * CHOOSE( CONTROL!$C$15, $D$11, 100%, $F$11)</f>
        <v>7.9542999999999999</v>
      </c>
      <c r="F213" s="4">
        <f>CHOOSE( CONTROL!$C$32, 8.6432, 8.6377) * CHOOSE(CONTROL!$C$15, $D$11, 100%, $F$11)</f>
        <v>8.6432000000000002</v>
      </c>
      <c r="G213" s="8">
        <f>CHOOSE( CONTROL!$C$32, 7.7318, 7.7264) * CHOOSE( CONTROL!$C$15, $D$11, 100%, $F$11)</f>
        <v>7.7317999999999998</v>
      </c>
      <c r="H213" s="4">
        <f>CHOOSE( CONTROL!$C$32, 8.6767, 8.6712) * CHOOSE(CONTROL!$C$15, $D$11, 100%, $F$11)</f>
        <v>8.6767000000000003</v>
      </c>
      <c r="I213" s="8">
        <f>CHOOSE( CONTROL!$C$32, 7.7012, 7.6959) * CHOOSE(CONTROL!$C$15, $D$11, 100%, $F$11)</f>
        <v>7.7012</v>
      </c>
      <c r="J213" s="4">
        <f>CHOOSE( CONTROL!$C$32, 7.5852, 7.5798) * CHOOSE(CONTROL!$C$15, $D$11, 100%, $F$11)</f>
        <v>7.5852000000000004</v>
      </c>
      <c r="K213" s="4"/>
      <c r="L213" s="9">
        <v>30.7165</v>
      </c>
      <c r="M213" s="9">
        <v>12.063700000000001</v>
      </c>
      <c r="N213" s="9">
        <v>4.9444999999999997</v>
      </c>
      <c r="O213" s="9">
        <v>0.37409999999999999</v>
      </c>
      <c r="P213" s="9">
        <v>1.2183999999999999</v>
      </c>
      <c r="Q213" s="9">
        <v>31.026700000000002</v>
      </c>
      <c r="R213" s="9"/>
      <c r="S213" s="11"/>
    </row>
    <row r="214" spans="1:19" ht="15.75">
      <c r="A214" s="13">
        <v>48000</v>
      </c>
      <c r="B214" s="8">
        <f>CHOOSE( CONTROL!$C$32, 7.8039, 7.7984) * CHOOSE(CONTROL!$C$15, $D$11, 100%, $F$11)</f>
        <v>7.8038999999999996</v>
      </c>
      <c r="C214" s="8">
        <f>CHOOSE( CONTROL!$C$32, 7.812, 7.8064) * CHOOSE(CONTROL!$C$15, $D$11, 100%, $F$11)</f>
        <v>7.8120000000000003</v>
      </c>
      <c r="D214" s="8">
        <f>CHOOSE( CONTROL!$C$32, 7.8381, 7.8326) * CHOOSE( CONTROL!$C$15, $D$11, 100%, $F$11)</f>
        <v>7.8380999999999998</v>
      </c>
      <c r="E214" s="12">
        <f>CHOOSE( CONTROL!$C$32, 7.8274, 7.8219) * CHOOSE( CONTROL!$C$15, $D$11, 100%, $F$11)</f>
        <v>7.8273999999999999</v>
      </c>
      <c r="F214" s="4">
        <f>CHOOSE( CONTROL!$C$32, 8.5163, 8.5107) * CHOOSE(CONTROL!$C$15, $D$11, 100%, $F$11)</f>
        <v>8.5162999999999993</v>
      </c>
      <c r="G214" s="8">
        <f>CHOOSE( CONTROL!$C$32, 7.6081, 7.6026) * CHOOSE( CONTROL!$C$15, $D$11, 100%, $F$11)</f>
        <v>7.6081000000000003</v>
      </c>
      <c r="H214" s="4">
        <f>CHOOSE( CONTROL!$C$32, 8.5527, 8.5472) * CHOOSE(CONTROL!$C$15, $D$11, 100%, $F$11)</f>
        <v>8.5526999999999997</v>
      </c>
      <c r="I214" s="8">
        <f>CHOOSE( CONTROL!$C$32, 7.5801, 7.5748) * CHOOSE(CONTROL!$C$15, $D$11, 100%, $F$11)</f>
        <v>7.5800999999999998</v>
      </c>
      <c r="J214" s="4">
        <f>CHOOSE( CONTROL!$C$32, 7.4633, 7.458) * CHOOSE(CONTROL!$C$15, $D$11, 100%, $F$11)</f>
        <v>7.4633000000000003</v>
      </c>
      <c r="K214" s="4"/>
      <c r="L214" s="9">
        <v>29.7257</v>
      </c>
      <c r="M214" s="9">
        <v>11.6745</v>
      </c>
      <c r="N214" s="9">
        <v>4.7850000000000001</v>
      </c>
      <c r="O214" s="9">
        <v>0.36199999999999999</v>
      </c>
      <c r="P214" s="9">
        <v>1.1791</v>
      </c>
      <c r="Q214" s="9">
        <v>30.0258</v>
      </c>
      <c r="R214" s="9"/>
      <c r="S214" s="11"/>
    </row>
    <row r="215" spans="1:19" ht="15.75">
      <c r="A215" s="13">
        <v>48030</v>
      </c>
      <c r="B215" s="8">
        <f>CHOOSE( CONTROL!$C$32, 8.1382, 8.1326) * CHOOSE(CONTROL!$C$15, $D$11, 100%, $F$11)</f>
        <v>8.1381999999999994</v>
      </c>
      <c r="C215" s="8">
        <f>CHOOSE( CONTROL!$C$32, 8.1463, 8.1407) * CHOOSE(CONTROL!$C$15, $D$11, 100%, $F$11)</f>
        <v>8.1463000000000001</v>
      </c>
      <c r="D215" s="8">
        <f>CHOOSE( CONTROL!$C$32, 8.1726, 8.167) * CHOOSE( CONTROL!$C$15, $D$11, 100%, $F$11)</f>
        <v>8.1725999999999992</v>
      </c>
      <c r="E215" s="12">
        <f>CHOOSE( CONTROL!$C$32, 8.1618, 8.1562) * CHOOSE( CONTROL!$C$15, $D$11, 100%, $F$11)</f>
        <v>8.1617999999999995</v>
      </c>
      <c r="F215" s="4">
        <f>CHOOSE( CONTROL!$C$32, 8.8506, 8.845) * CHOOSE(CONTROL!$C$15, $D$11, 100%, $F$11)</f>
        <v>8.8506</v>
      </c>
      <c r="G215" s="8">
        <f>CHOOSE( CONTROL!$C$32, 7.9348, 7.9294) * CHOOSE( CONTROL!$C$15, $D$11, 100%, $F$11)</f>
        <v>7.9348000000000001</v>
      </c>
      <c r="H215" s="4">
        <f>CHOOSE( CONTROL!$C$32, 8.8791, 8.8737) * CHOOSE(CONTROL!$C$15, $D$11, 100%, $F$11)</f>
        <v>8.8790999999999993</v>
      </c>
      <c r="I215" s="8">
        <f>CHOOSE( CONTROL!$C$32, 7.9022, 7.8968) * CHOOSE(CONTROL!$C$15, $D$11, 100%, $F$11)</f>
        <v>7.9021999999999997</v>
      </c>
      <c r="J215" s="4">
        <f>CHOOSE( CONTROL!$C$32, 7.7842, 7.7789) * CHOOSE(CONTROL!$C$15, $D$11, 100%, $F$11)</f>
        <v>7.7842000000000002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1.2183999999999999</v>
      </c>
      <c r="Q215" s="9">
        <v>31.026700000000002</v>
      </c>
      <c r="R215" s="9"/>
      <c r="S215" s="11"/>
    </row>
    <row r="216" spans="1:19" ht="15.75">
      <c r="A216" s="13">
        <v>48061</v>
      </c>
      <c r="B216" s="8">
        <f>CHOOSE( CONTROL!$C$32, 7.5128, 7.5072) * CHOOSE(CONTROL!$C$15, $D$11, 100%, $F$11)</f>
        <v>7.5128000000000004</v>
      </c>
      <c r="C216" s="8">
        <f>CHOOSE( CONTROL!$C$32, 7.5208, 7.5153) * CHOOSE(CONTROL!$C$15, $D$11, 100%, $F$11)</f>
        <v>7.5208000000000004</v>
      </c>
      <c r="D216" s="8">
        <f>CHOOSE( CONTROL!$C$32, 7.5472, 7.5417) * CHOOSE( CONTROL!$C$15, $D$11, 100%, $F$11)</f>
        <v>7.5472000000000001</v>
      </c>
      <c r="E216" s="12">
        <f>CHOOSE( CONTROL!$C$32, 7.5364, 7.5309) * CHOOSE( CONTROL!$C$15, $D$11, 100%, $F$11)</f>
        <v>7.5364000000000004</v>
      </c>
      <c r="F216" s="4">
        <f>CHOOSE( CONTROL!$C$32, 8.2251, 8.2196) * CHOOSE(CONTROL!$C$15, $D$11, 100%, $F$11)</f>
        <v>8.2250999999999994</v>
      </c>
      <c r="G216" s="8">
        <f>CHOOSE( CONTROL!$C$32, 7.3241, 7.3186) * CHOOSE( CONTROL!$C$15, $D$11, 100%, $F$11)</f>
        <v>7.3240999999999996</v>
      </c>
      <c r="H216" s="4">
        <f>CHOOSE( CONTROL!$C$32, 8.2683, 8.2629) * CHOOSE(CONTROL!$C$15, $D$11, 100%, $F$11)</f>
        <v>8.2683</v>
      </c>
      <c r="I216" s="8">
        <f>CHOOSE( CONTROL!$C$32, 7.3017, 7.2963) * CHOOSE(CONTROL!$C$15, $D$11, 100%, $F$11)</f>
        <v>7.3017000000000003</v>
      </c>
      <c r="J216" s="4">
        <f>CHOOSE( CONTROL!$C$32, 7.1838, 7.1784) * CHOOSE(CONTROL!$C$15, $D$11, 100%, $F$11)</f>
        <v>7.1837999999999997</v>
      </c>
      <c r="K216" s="4"/>
      <c r="L216" s="9">
        <v>30.7165</v>
      </c>
      <c r="M216" s="9">
        <v>12.063700000000001</v>
      </c>
      <c r="N216" s="9">
        <v>4.9444999999999997</v>
      </c>
      <c r="O216" s="9">
        <v>0.37409999999999999</v>
      </c>
      <c r="P216" s="9">
        <v>1.2183999999999999</v>
      </c>
      <c r="Q216" s="9">
        <v>31.026700000000002</v>
      </c>
      <c r="R216" s="9"/>
      <c r="S216" s="11"/>
    </row>
    <row r="217" spans="1:19" ht="15.75">
      <c r="A217" s="13">
        <v>48092</v>
      </c>
      <c r="B217" s="8">
        <f>CHOOSE( CONTROL!$C$32, 7.3561, 7.3506) * CHOOSE(CONTROL!$C$15, $D$11, 100%, $F$11)</f>
        <v>7.3560999999999996</v>
      </c>
      <c r="C217" s="8">
        <f>CHOOSE( CONTROL!$C$32, 7.3642, 7.3587) * CHOOSE(CONTROL!$C$15, $D$11, 100%, $F$11)</f>
        <v>7.3642000000000003</v>
      </c>
      <c r="D217" s="8">
        <f>CHOOSE( CONTROL!$C$32, 7.3906, 7.385) * CHOOSE( CONTROL!$C$15, $D$11, 100%, $F$11)</f>
        <v>7.3906000000000001</v>
      </c>
      <c r="E217" s="12">
        <f>CHOOSE( CONTROL!$C$32, 7.3798, 7.3742) * CHOOSE( CONTROL!$C$15, $D$11, 100%, $F$11)</f>
        <v>7.3798000000000004</v>
      </c>
      <c r="F217" s="4">
        <f>CHOOSE( CONTROL!$C$32, 8.0685, 8.063) * CHOOSE(CONTROL!$C$15, $D$11, 100%, $F$11)</f>
        <v>8.0685000000000002</v>
      </c>
      <c r="G217" s="8">
        <f>CHOOSE( CONTROL!$C$32, 7.171, 7.1656) * CHOOSE( CONTROL!$C$15, $D$11, 100%, $F$11)</f>
        <v>7.1710000000000003</v>
      </c>
      <c r="H217" s="4">
        <f>CHOOSE( CONTROL!$C$32, 8.1153, 8.1099) * CHOOSE(CONTROL!$C$15, $D$11, 100%, $F$11)</f>
        <v>8.1152999999999995</v>
      </c>
      <c r="I217" s="8">
        <f>CHOOSE( CONTROL!$C$32, 7.151, 7.1457) * CHOOSE(CONTROL!$C$15, $D$11, 100%, $F$11)</f>
        <v>7.1509999999999998</v>
      </c>
      <c r="J217" s="4">
        <f>CHOOSE( CONTROL!$C$32, 7.0334, 7.0281) * CHOOSE(CONTROL!$C$15, $D$11, 100%, $F$11)</f>
        <v>7.0334000000000003</v>
      </c>
      <c r="K217" s="4"/>
      <c r="L217" s="9">
        <v>29.7257</v>
      </c>
      <c r="M217" s="9">
        <v>11.6745</v>
      </c>
      <c r="N217" s="9">
        <v>4.7850000000000001</v>
      </c>
      <c r="O217" s="9">
        <v>0.36199999999999999</v>
      </c>
      <c r="P217" s="9">
        <v>1.1791</v>
      </c>
      <c r="Q217" s="9">
        <v>30.0258</v>
      </c>
      <c r="R217" s="9"/>
      <c r="S217" s="11"/>
    </row>
    <row r="218" spans="1:19" ht="15.75">
      <c r="A218" s="13">
        <v>48122</v>
      </c>
      <c r="B218" s="8">
        <f>7.674 * CHOOSE(CONTROL!$C$15, $D$11, 100%, $F$11)</f>
        <v>7.6740000000000004</v>
      </c>
      <c r="C218" s="8">
        <f>7.6795 * CHOOSE(CONTROL!$C$15, $D$11, 100%, $F$11)</f>
        <v>7.6795</v>
      </c>
      <c r="D218" s="8">
        <f>7.7107 * CHOOSE( CONTROL!$C$15, $D$11, 100%, $F$11)</f>
        <v>7.7107000000000001</v>
      </c>
      <c r="E218" s="12">
        <f>7.6998 * CHOOSE( CONTROL!$C$15, $D$11, 100%, $F$11)</f>
        <v>7.6997999999999998</v>
      </c>
      <c r="F218" s="4">
        <f>8.3881 * CHOOSE(CONTROL!$C$15, $D$11, 100%, $F$11)</f>
        <v>8.3880999999999997</v>
      </c>
      <c r="G218" s="8">
        <f>7.4823 * CHOOSE( CONTROL!$C$15, $D$11, 100%, $F$11)</f>
        <v>7.4823000000000004</v>
      </c>
      <c r="H218" s="4">
        <f>8.4275 * CHOOSE(CONTROL!$C$15, $D$11, 100%, $F$11)</f>
        <v>8.4275000000000002</v>
      </c>
      <c r="I218" s="8">
        <f>7.4589 * CHOOSE(CONTROL!$C$15, $D$11, 100%, $F$11)</f>
        <v>7.4588999999999999</v>
      </c>
      <c r="J218" s="4">
        <f>7.3403 * CHOOSE(CONTROL!$C$15, $D$11, 100%, $F$11)</f>
        <v>7.3403</v>
      </c>
      <c r="K218" s="4"/>
      <c r="L218" s="9">
        <v>31.095300000000002</v>
      </c>
      <c r="M218" s="9">
        <v>12.063700000000001</v>
      </c>
      <c r="N218" s="9">
        <v>4.9444999999999997</v>
      </c>
      <c r="O218" s="9">
        <v>0.37409999999999999</v>
      </c>
      <c r="P218" s="9">
        <v>1.2183999999999999</v>
      </c>
      <c r="Q218" s="9">
        <v>31.026700000000002</v>
      </c>
      <c r="R218" s="9"/>
      <c r="S218" s="11"/>
    </row>
    <row r="219" spans="1:19" ht="15.75">
      <c r="A219" s="13">
        <v>48153</v>
      </c>
      <c r="B219" s="8">
        <f>8.2738 * CHOOSE(CONTROL!$C$15, $D$11, 100%, $F$11)</f>
        <v>8.2737999999999996</v>
      </c>
      <c r="C219" s="8">
        <f>8.279 * CHOOSE(CONTROL!$C$15, $D$11, 100%, $F$11)</f>
        <v>8.2789999999999999</v>
      </c>
      <c r="D219" s="8">
        <f>8.2653 * CHOOSE( CONTROL!$C$15, $D$11, 100%, $F$11)</f>
        <v>8.2652999999999999</v>
      </c>
      <c r="E219" s="12">
        <f>8.2698 * CHOOSE( CONTROL!$C$15, $D$11, 100%, $F$11)</f>
        <v>8.2698</v>
      </c>
      <c r="F219" s="4">
        <f>8.9243 * CHOOSE(CONTROL!$C$15, $D$11, 100%, $F$11)</f>
        <v>8.9243000000000006</v>
      </c>
      <c r="G219" s="8">
        <f>8.0762 * CHOOSE( CONTROL!$C$15, $D$11, 100%, $F$11)</f>
        <v>8.0762</v>
      </c>
      <c r="H219" s="4">
        <f>8.9512 * CHOOSE(CONTROL!$C$15, $D$11, 100%, $F$11)</f>
        <v>8.9512</v>
      </c>
      <c r="I219" s="8">
        <f>8.0791 * CHOOSE(CONTROL!$C$15, $D$11, 100%, $F$11)</f>
        <v>8.0791000000000004</v>
      </c>
      <c r="J219" s="4">
        <f>7.9165 * CHOOSE(CONTROL!$C$15, $D$11, 100%, $F$11)</f>
        <v>7.9165000000000001</v>
      </c>
      <c r="K219" s="4"/>
      <c r="L219" s="9">
        <v>28.360600000000002</v>
      </c>
      <c r="M219" s="9">
        <v>11.6745</v>
      </c>
      <c r="N219" s="9">
        <v>4.7850000000000001</v>
      </c>
      <c r="O219" s="9">
        <v>0.36199999999999999</v>
      </c>
      <c r="P219" s="9">
        <v>1.2509999999999999</v>
      </c>
      <c r="Q219" s="9">
        <v>30.0258</v>
      </c>
      <c r="R219" s="9"/>
      <c r="S219" s="11"/>
    </row>
    <row r="220" spans="1:19" ht="15.75">
      <c r="A220" s="13">
        <v>48183</v>
      </c>
      <c r="B220" s="8">
        <f>8.2589 * CHOOSE(CONTROL!$C$15, $D$11, 100%, $F$11)</f>
        <v>8.2589000000000006</v>
      </c>
      <c r="C220" s="8">
        <f>8.264 * CHOOSE(CONTROL!$C$15, $D$11, 100%, $F$11)</f>
        <v>8.2639999999999993</v>
      </c>
      <c r="D220" s="8">
        <f>8.2518 * CHOOSE( CONTROL!$C$15, $D$11, 100%, $F$11)</f>
        <v>8.2517999999999994</v>
      </c>
      <c r="E220" s="12">
        <f>8.2557 * CHOOSE( CONTROL!$C$15, $D$11, 100%, $F$11)</f>
        <v>8.2556999999999992</v>
      </c>
      <c r="F220" s="4">
        <f>8.9093 * CHOOSE(CONTROL!$C$15, $D$11, 100%, $F$11)</f>
        <v>8.9093</v>
      </c>
      <c r="G220" s="8">
        <f>8.0626 * CHOOSE( CONTROL!$C$15, $D$11, 100%, $F$11)</f>
        <v>8.0625999999999998</v>
      </c>
      <c r="H220" s="4">
        <f>8.9365 * CHOOSE(CONTROL!$C$15, $D$11, 100%, $F$11)</f>
        <v>8.9365000000000006</v>
      </c>
      <c r="I220" s="8">
        <f>8.0694 * CHOOSE(CONTROL!$C$15, $D$11, 100%, $F$11)</f>
        <v>8.0693999999999999</v>
      </c>
      <c r="J220" s="4">
        <f>7.9021 * CHOOSE(CONTROL!$C$15, $D$11, 100%, $F$11)</f>
        <v>7.9020999999999999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31.026700000000002</v>
      </c>
      <c r="R220" s="9"/>
      <c r="S220" s="11"/>
    </row>
    <row r="221" spans="1:19" ht="15.75">
      <c r="A221" s="13">
        <v>48214</v>
      </c>
      <c r="B221" s="8">
        <f>8.5495 * CHOOSE(CONTROL!$C$15, $D$11, 100%, $F$11)</f>
        <v>8.5495000000000001</v>
      </c>
      <c r="C221" s="8">
        <f>8.5546 * CHOOSE(CONTROL!$C$15, $D$11, 100%, $F$11)</f>
        <v>8.5546000000000006</v>
      </c>
      <c r="D221" s="8">
        <f>8.5371 * CHOOSE( CONTROL!$C$15, $D$11, 100%, $F$11)</f>
        <v>8.5371000000000006</v>
      </c>
      <c r="E221" s="12">
        <f>8.543 * CHOOSE( CONTROL!$C$15, $D$11, 100%, $F$11)</f>
        <v>8.5429999999999993</v>
      </c>
      <c r="F221" s="4">
        <f>9.1999 * CHOOSE(CONTROL!$C$15, $D$11, 100%, $F$11)</f>
        <v>9.1998999999999995</v>
      </c>
      <c r="G221" s="8">
        <f>8.3364 * CHOOSE( CONTROL!$C$15, $D$11, 100%, $F$11)</f>
        <v>8.3363999999999994</v>
      </c>
      <c r="H221" s="4">
        <f>9.2204 * CHOOSE(CONTROL!$C$15, $D$11, 100%, $F$11)</f>
        <v>9.2203999999999997</v>
      </c>
      <c r="I221" s="8">
        <f>8.3084 * CHOOSE(CONTROL!$C$15, $D$11, 100%, $F$11)</f>
        <v>8.3084000000000007</v>
      </c>
      <c r="J221" s="4">
        <f>8.1812 * CHOOSE(CONTROL!$C$15, $D$11, 100%, $F$11)</f>
        <v>8.1812000000000005</v>
      </c>
      <c r="K221" s="4"/>
      <c r="L221" s="9">
        <v>29.306000000000001</v>
      </c>
      <c r="M221" s="9">
        <v>12.063700000000001</v>
      </c>
      <c r="N221" s="9">
        <v>4.9444999999999997</v>
      </c>
      <c r="O221" s="9">
        <v>0.37409999999999999</v>
      </c>
      <c r="P221" s="9">
        <v>1.2927</v>
      </c>
      <c r="Q221" s="9">
        <v>30.8704</v>
      </c>
      <c r="R221" s="9"/>
      <c r="S221" s="11"/>
    </row>
    <row r="222" spans="1:19" ht="15.75">
      <c r="A222" s="13">
        <v>48245</v>
      </c>
      <c r="B222" s="8">
        <f>7.9986 * CHOOSE(CONTROL!$C$15, $D$11, 100%, $F$11)</f>
        <v>7.9985999999999997</v>
      </c>
      <c r="C222" s="8">
        <f>8.0038 * CHOOSE(CONTROL!$C$15, $D$11, 100%, $F$11)</f>
        <v>8.0038</v>
      </c>
      <c r="D222" s="8">
        <f>7.9861 * CHOOSE( CONTROL!$C$15, $D$11, 100%, $F$11)</f>
        <v>7.9861000000000004</v>
      </c>
      <c r="E222" s="12">
        <f>7.992 * CHOOSE( CONTROL!$C$15, $D$11, 100%, $F$11)</f>
        <v>7.992</v>
      </c>
      <c r="F222" s="4">
        <f>8.649 * CHOOSE(CONTROL!$C$15, $D$11, 100%, $F$11)</f>
        <v>8.6489999999999991</v>
      </c>
      <c r="G222" s="8">
        <f>7.7983 * CHOOSE( CONTROL!$C$15, $D$11, 100%, $F$11)</f>
        <v>7.7983000000000002</v>
      </c>
      <c r="H222" s="4">
        <f>8.6823 * CHOOSE(CONTROL!$C$15, $D$11, 100%, $F$11)</f>
        <v>8.6822999999999997</v>
      </c>
      <c r="I222" s="8">
        <f>7.7791 * CHOOSE(CONTROL!$C$15, $D$11, 100%, $F$11)</f>
        <v>7.7790999999999997</v>
      </c>
      <c r="J222" s="4">
        <f>7.6523 * CHOOSE(CONTROL!$C$15, $D$11, 100%, $F$11)</f>
        <v>7.6523000000000003</v>
      </c>
      <c r="K222" s="4"/>
      <c r="L222" s="9">
        <v>27.415299999999998</v>
      </c>
      <c r="M222" s="9">
        <v>11.285299999999999</v>
      </c>
      <c r="N222" s="9">
        <v>4.6254999999999997</v>
      </c>
      <c r="O222" s="9">
        <v>0.34989999999999999</v>
      </c>
      <c r="P222" s="9">
        <v>1.2093</v>
      </c>
      <c r="Q222" s="9">
        <v>28.878799999999998</v>
      </c>
      <c r="R222" s="9"/>
      <c r="S222" s="11"/>
    </row>
    <row r="223" spans="1:19" ht="15.75">
      <c r="A223" s="13">
        <v>48274</v>
      </c>
      <c r="B223" s="8">
        <f>7.8289 * CHOOSE(CONTROL!$C$15, $D$11, 100%, $F$11)</f>
        <v>7.8289</v>
      </c>
      <c r="C223" s="8">
        <f>7.8341 * CHOOSE(CONTROL!$C$15, $D$11, 100%, $F$11)</f>
        <v>7.8341000000000003</v>
      </c>
      <c r="D223" s="8">
        <f>7.8161 * CHOOSE( CONTROL!$C$15, $D$11, 100%, $F$11)</f>
        <v>7.8160999999999996</v>
      </c>
      <c r="E223" s="12">
        <f>7.8221 * CHOOSE( CONTROL!$C$15, $D$11, 100%, $F$11)</f>
        <v>7.8220999999999998</v>
      </c>
      <c r="F223" s="4">
        <f>8.4794 * CHOOSE(CONTROL!$C$15, $D$11, 100%, $F$11)</f>
        <v>8.4794</v>
      </c>
      <c r="G223" s="8">
        <f>7.6323 * CHOOSE( CONTROL!$C$15, $D$11, 100%, $F$11)</f>
        <v>7.6322999999999999</v>
      </c>
      <c r="H223" s="4">
        <f>8.5166 * CHOOSE(CONTROL!$C$15, $D$11, 100%, $F$11)</f>
        <v>8.5166000000000004</v>
      </c>
      <c r="I223" s="8">
        <f>7.6149 * CHOOSE(CONTROL!$C$15, $D$11, 100%, $F$11)</f>
        <v>7.6148999999999996</v>
      </c>
      <c r="J223" s="4">
        <f>7.4894 * CHOOSE(CONTROL!$C$15, $D$11, 100%, $F$11)</f>
        <v>7.4893999999999998</v>
      </c>
      <c r="K223" s="4"/>
      <c r="L223" s="9">
        <v>29.306000000000001</v>
      </c>
      <c r="M223" s="9">
        <v>12.063700000000001</v>
      </c>
      <c r="N223" s="9">
        <v>4.9444999999999997</v>
      </c>
      <c r="O223" s="9">
        <v>0.37409999999999999</v>
      </c>
      <c r="P223" s="9">
        <v>1.2927</v>
      </c>
      <c r="Q223" s="9">
        <v>30.8704</v>
      </c>
      <c r="R223" s="9"/>
      <c r="S223" s="11"/>
    </row>
    <row r="224" spans="1:19" ht="15.75">
      <c r="A224" s="13">
        <v>48305</v>
      </c>
      <c r="B224" s="8">
        <f>7.9482 * CHOOSE(CONTROL!$C$15, $D$11, 100%, $F$11)</f>
        <v>7.9481999999999999</v>
      </c>
      <c r="C224" s="8">
        <f>7.9529 * CHOOSE(CONTROL!$C$15, $D$11, 100%, $F$11)</f>
        <v>7.9528999999999996</v>
      </c>
      <c r="D224" s="8">
        <f>7.984 * CHOOSE( CONTROL!$C$15, $D$11, 100%, $F$11)</f>
        <v>7.984</v>
      </c>
      <c r="E224" s="12">
        <f>7.9732 * CHOOSE( CONTROL!$C$15, $D$11, 100%, $F$11)</f>
        <v>7.9732000000000003</v>
      </c>
      <c r="F224" s="4">
        <f>8.662 * CHOOSE(CONTROL!$C$15, $D$11, 100%, $F$11)</f>
        <v>8.6620000000000008</v>
      </c>
      <c r="G224" s="8">
        <f>7.749 * CHOOSE( CONTROL!$C$15, $D$11, 100%, $F$11)</f>
        <v>7.7489999999999997</v>
      </c>
      <c r="H224" s="4">
        <f>8.695 * CHOOSE(CONTROL!$C$15, $D$11, 100%, $F$11)</f>
        <v>8.6950000000000003</v>
      </c>
      <c r="I224" s="8">
        <f>7.7193 * CHOOSE(CONTROL!$C$15, $D$11, 100%, $F$11)</f>
        <v>7.7192999999999996</v>
      </c>
      <c r="J224" s="4">
        <f>7.6032 * CHOOSE(CONTROL!$C$15, $D$11, 100%, $F$11)</f>
        <v>7.6032000000000002</v>
      </c>
      <c r="K224" s="4"/>
      <c r="L224" s="9">
        <v>30.092199999999998</v>
      </c>
      <c r="M224" s="9">
        <v>11.6745</v>
      </c>
      <c r="N224" s="9">
        <v>4.7850000000000001</v>
      </c>
      <c r="O224" s="9">
        <v>0.36199999999999999</v>
      </c>
      <c r="P224" s="9">
        <v>1.1791</v>
      </c>
      <c r="Q224" s="9">
        <v>29.874600000000001</v>
      </c>
      <c r="R224" s="9"/>
      <c r="S224" s="11"/>
    </row>
    <row r="225" spans="1:19" ht="15.75">
      <c r="A225" s="13">
        <v>48335</v>
      </c>
      <c r="B225" s="8">
        <f>CHOOSE( CONTROL!$C$32, 8.1662, 8.1606) * CHOOSE(CONTROL!$C$15, $D$11, 100%, $F$11)</f>
        <v>8.1661999999999999</v>
      </c>
      <c r="C225" s="8">
        <f>CHOOSE( CONTROL!$C$32, 8.1743, 8.1687) * CHOOSE(CONTROL!$C$15, $D$11, 100%, $F$11)</f>
        <v>8.1743000000000006</v>
      </c>
      <c r="D225" s="8">
        <f>CHOOSE( CONTROL!$C$32, 8.2002, 8.1947) * CHOOSE( CONTROL!$C$15, $D$11, 100%, $F$11)</f>
        <v>8.2002000000000006</v>
      </c>
      <c r="E225" s="12">
        <f>CHOOSE( CONTROL!$C$32, 8.1896, 8.184) * CHOOSE( CONTROL!$C$15, $D$11, 100%, $F$11)</f>
        <v>8.1896000000000004</v>
      </c>
      <c r="F225" s="4">
        <f>CHOOSE( CONTROL!$C$32, 8.8786, 8.873) * CHOOSE(CONTROL!$C$15, $D$11, 100%, $F$11)</f>
        <v>8.8786000000000005</v>
      </c>
      <c r="G225" s="8">
        <f>CHOOSE( CONTROL!$C$32, 7.9616, 7.9562) * CHOOSE( CONTROL!$C$15, $D$11, 100%, $F$11)</f>
        <v>7.9615999999999998</v>
      </c>
      <c r="H225" s="4">
        <f>CHOOSE( CONTROL!$C$32, 8.9065, 8.9011) * CHOOSE(CONTROL!$C$15, $D$11, 100%, $F$11)</f>
        <v>8.9064999999999994</v>
      </c>
      <c r="I225" s="8">
        <f>CHOOSE( CONTROL!$C$32, 7.9273, 7.9219) * CHOOSE(CONTROL!$C$15, $D$11, 100%, $F$11)</f>
        <v>7.9272999999999998</v>
      </c>
      <c r="J225" s="4">
        <f>CHOOSE( CONTROL!$C$32, 7.8111, 7.8058) * CHOOSE(CONTROL!$C$15, $D$11, 100%, $F$11)</f>
        <v>7.8110999999999997</v>
      </c>
      <c r="K225" s="4"/>
      <c r="L225" s="9">
        <v>30.7165</v>
      </c>
      <c r="M225" s="9">
        <v>12.063700000000001</v>
      </c>
      <c r="N225" s="9">
        <v>4.9444999999999997</v>
      </c>
      <c r="O225" s="9">
        <v>0.37409999999999999</v>
      </c>
      <c r="P225" s="9">
        <v>1.2183999999999999</v>
      </c>
      <c r="Q225" s="9">
        <v>30.8704</v>
      </c>
      <c r="R225" s="9"/>
      <c r="S225" s="11"/>
    </row>
    <row r="226" spans="1:19" ht="15.75">
      <c r="A226" s="13">
        <v>48366</v>
      </c>
      <c r="B226" s="8">
        <f>CHOOSE( CONTROL!$C$32, 8.0355, 8.0299) * CHOOSE(CONTROL!$C$15, $D$11, 100%, $F$11)</f>
        <v>8.0355000000000008</v>
      </c>
      <c r="C226" s="8">
        <f>CHOOSE( CONTROL!$C$32, 8.0436, 8.038) * CHOOSE(CONTROL!$C$15, $D$11, 100%, $F$11)</f>
        <v>8.0435999999999996</v>
      </c>
      <c r="D226" s="8">
        <f>CHOOSE( CONTROL!$C$32, 8.0697, 8.0641) * CHOOSE( CONTROL!$C$15, $D$11, 100%, $F$11)</f>
        <v>8.0696999999999992</v>
      </c>
      <c r="E226" s="12">
        <f>CHOOSE( CONTROL!$C$32, 8.059, 8.0534) * CHOOSE( CONTROL!$C$15, $D$11, 100%, $F$11)</f>
        <v>8.0589999999999993</v>
      </c>
      <c r="F226" s="4">
        <f>CHOOSE( CONTROL!$C$32, 8.7479, 8.7423) * CHOOSE(CONTROL!$C$15, $D$11, 100%, $F$11)</f>
        <v>8.7478999999999996</v>
      </c>
      <c r="G226" s="8">
        <f>CHOOSE( CONTROL!$C$32, 7.8342, 7.8288) * CHOOSE( CONTROL!$C$15, $D$11, 100%, $F$11)</f>
        <v>7.8342000000000001</v>
      </c>
      <c r="H226" s="4">
        <f>CHOOSE( CONTROL!$C$32, 8.7788, 8.7734) * CHOOSE(CONTROL!$C$15, $D$11, 100%, $F$11)</f>
        <v>8.7788000000000004</v>
      </c>
      <c r="I226" s="8">
        <f>CHOOSE( CONTROL!$C$32, 7.8025, 7.7972) * CHOOSE(CONTROL!$C$15, $D$11, 100%, $F$11)</f>
        <v>7.8025000000000002</v>
      </c>
      <c r="J226" s="4">
        <f>CHOOSE( CONTROL!$C$32, 7.6856, 7.6803) * CHOOSE(CONTROL!$C$15, $D$11, 100%, $F$11)</f>
        <v>7.6856</v>
      </c>
      <c r="K226" s="4"/>
      <c r="L226" s="9">
        <v>29.7257</v>
      </c>
      <c r="M226" s="9">
        <v>11.6745</v>
      </c>
      <c r="N226" s="9">
        <v>4.7850000000000001</v>
      </c>
      <c r="O226" s="9">
        <v>0.36199999999999999</v>
      </c>
      <c r="P226" s="9">
        <v>1.1791</v>
      </c>
      <c r="Q226" s="9">
        <v>29.874600000000001</v>
      </c>
      <c r="R226" s="9"/>
      <c r="S226" s="11"/>
    </row>
    <row r="227" spans="1:19" ht="15.75">
      <c r="A227" s="13">
        <v>48396</v>
      </c>
      <c r="B227" s="8">
        <f>CHOOSE( CONTROL!$C$32, 8.3797, 8.3741) * CHOOSE(CONTROL!$C$15, $D$11, 100%, $F$11)</f>
        <v>8.3796999999999997</v>
      </c>
      <c r="C227" s="8">
        <f>CHOOSE( CONTROL!$C$32, 8.3878, 8.3822) * CHOOSE(CONTROL!$C$15, $D$11, 100%, $F$11)</f>
        <v>8.3878000000000004</v>
      </c>
      <c r="D227" s="8">
        <f>CHOOSE( CONTROL!$C$32, 8.4141, 8.4085) * CHOOSE( CONTROL!$C$15, $D$11, 100%, $F$11)</f>
        <v>8.4140999999999995</v>
      </c>
      <c r="E227" s="12">
        <f>CHOOSE( CONTROL!$C$32, 8.4033, 8.3977) * CHOOSE( CONTROL!$C$15, $D$11, 100%, $F$11)</f>
        <v>8.4032999999999998</v>
      </c>
      <c r="F227" s="4">
        <f>CHOOSE( CONTROL!$C$32, 9.0921, 9.0865) * CHOOSE(CONTROL!$C$15, $D$11, 100%, $F$11)</f>
        <v>9.0921000000000003</v>
      </c>
      <c r="G227" s="8">
        <f>CHOOSE( CONTROL!$C$32, 8.1707, 8.1653) * CHOOSE( CONTROL!$C$15, $D$11, 100%, $F$11)</f>
        <v>8.1707000000000001</v>
      </c>
      <c r="H227" s="4">
        <f>CHOOSE( CONTROL!$C$32, 9.115, 9.1096) * CHOOSE(CONTROL!$C$15, $D$11, 100%, $F$11)</f>
        <v>9.1150000000000002</v>
      </c>
      <c r="I227" s="8">
        <f>CHOOSE( CONTROL!$C$32, 8.1341, 8.1288) * CHOOSE(CONTROL!$C$15, $D$11, 100%, $F$11)</f>
        <v>8.1341000000000001</v>
      </c>
      <c r="J227" s="4">
        <f>CHOOSE( CONTROL!$C$32, 8.0161, 8.0108) * CHOOSE(CONTROL!$C$15, $D$11, 100%, $F$11)</f>
        <v>8.0160999999999998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1.2183999999999999</v>
      </c>
      <c r="Q227" s="9">
        <v>30.8704</v>
      </c>
      <c r="R227" s="9"/>
      <c r="S227" s="11"/>
    </row>
    <row r="228" spans="1:19" ht="15.75">
      <c r="A228" s="13">
        <v>48427</v>
      </c>
      <c r="B228" s="8">
        <f>CHOOSE( CONTROL!$C$32, 7.7356, 7.73) * CHOOSE(CONTROL!$C$15, $D$11, 100%, $F$11)</f>
        <v>7.7355999999999998</v>
      </c>
      <c r="C228" s="8">
        <f>CHOOSE( CONTROL!$C$32, 7.7437, 7.7381) * CHOOSE(CONTROL!$C$15, $D$11, 100%, $F$11)</f>
        <v>7.7436999999999996</v>
      </c>
      <c r="D228" s="8">
        <f>CHOOSE( CONTROL!$C$32, 7.7701, 7.7645) * CHOOSE( CONTROL!$C$15, $D$11, 100%, $F$11)</f>
        <v>7.7701000000000002</v>
      </c>
      <c r="E228" s="12">
        <f>CHOOSE( CONTROL!$C$32, 7.7593, 7.7537) * CHOOSE( CONTROL!$C$15, $D$11, 100%, $F$11)</f>
        <v>7.7592999999999996</v>
      </c>
      <c r="F228" s="4">
        <f>CHOOSE( CONTROL!$C$32, 8.448, 8.4424) * CHOOSE(CONTROL!$C$15, $D$11, 100%, $F$11)</f>
        <v>8.4480000000000004</v>
      </c>
      <c r="G228" s="8">
        <f>CHOOSE( CONTROL!$C$32, 7.5417, 7.5363) * CHOOSE( CONTROL!$C$15, $D$11, 100%, $F$11)</f>
        <v>7.5416999999999996</v>
      </c>
      <c r="H228" s="4">
        <f>CHOOSE( CONTROL!$C$32, 8.486, 8.4805) * CHOOSE(CONTROL!$C$15, $D$11, 100%, $F$11)</f>
        <v>8.4860000000000007</v>
      </c>
      <c r="I228" s="8">
        <f>CHOOSE( CONTROL!$C$32, 7.5158, 7.5104) * CHOOSE(CONTROL!$C$15, $D$11, 100%, $F$11)</f>
        <v>7.5157999999999996</v>
      </c>
      <c r="J228" s="4">
        <f>CHOOSE( CONTROL!$C$32, 7.3977, 7.3924) * CHOOSE(CONTROL!$C$15, $D$11, 100%, $F$11)</f>
        <v>7.3977000000000004</v>
      </c>
      <c r="K228" s="4"/>
      <c r="L228" s="9">
        <v>30.7165</v>
      </c>
      <c r="M228" s="9">
        <v>12.063700000000001</v>
      </c>
      <c r="N228" s="9">
        <v>4.9444999999999997</v>
      </c>
      <c r="O228" s="9">
        <v>0.37409999999999999</v>
      </c>
      <c r="P228" s="9">
        <v>1.2183999999999999</v>
      </c>
      <c r="Q228" s="9">
        <v>30.8704</v>
      </c>
      <c r="R228" s="9"/>
      <c r="S228" s="11"/>
    </row>
    <row r="229" spans="1:19" ht="15.75">
      <c r="A229" s="13">
        <v>48458</v>
      </c>
      <c r="B229" s="8">
        <f>CHOOSE( CONTROL!$C$32, 7.5743, 7.5688) * CHOOSE(CONTROL!$C$15, $D$11, 100%, $F$11)</f>
        <v>7.5743</v>
      </c>
      <c r="C229" s="8">
        <f>CHOOSE( CONTROL!$C$32, 7.5824, 7.5768) * CHOOSE(CONTROL!$C$15, $D$11, 100%, $F$11)</f>
        <v>7.5823999999999998</v>
      </c>
      <c r="D229" s="8">
        <f>CHOOSE( CONTROL!$C$32, 7.6088, 7.6032) * CHOOSE( CONTROL!$C$15, $D$11, 100%, $F$11)</f>
        <v>7.6087999999999996</v>
      </c>
      <c r="E229" s="12">
        <f>CHOOSE( CONTROL!$C$32, 7.598, 7.5924) * CHOOSE( CONTROL!$C$15, $D$11, 100%, $F$11)</f>
        <v>7.5979999999999999</v>
      </c>
      <c r="F229" s="4">
        <f>CHOOSE( CONTROL!$C$32, 8.2867, 8.2812) * CHOOSE(CONTROL!$C$15, $D$11, 100%, $F$11)</f>
        <v>8.2866999999999997</v>
      </c>
      <c r="G229" s="8">
        <f>CHOOSE( CONTROL!$C$32, 7.3841, 7.3787) * CHOOSE( CONTROL!$C$15, $D$11, 100%, $F$11)</f>
        <v>7.3841000000000001</v>
      </c>
      <c r="H229" s="4">
        <f>CHOOSE( CONTROL!$C$32, 8.3284, 8.323) * CHOOSE(CONTROL!$C$15, $D$11, 100%, $F$11)</f>
        <v>8.3284000000000002</v>
      </c>
      <c r="I229" s="8">
        <f>CHOOSE( CONTROL!$C$32, 7.3606, 7.3552) * CHOOSE(CONTROL!$C$15, $D$11, 100%, $F$11)</f>
        <v>7.3605999999999998</v>
      </c>
      <c r="J229" s="4">
        <f>CHOOSE( CONTROL!$C$32, 7.2429, 7.2375) * CHOOSE(CONTROL!$C$15, $D$11, 100%, $F$11)</f>
        <v>7.2428999999999997</v>
      </c>
      <c r="K229" s="4"/>
      <c r="L229" s="9">
        <v>29.7257</v>
      </c>
      <c r="M229" s="9">
        <v>11.6745</v>
      </c>
      <c r="N229" s="9">
        <v>4.7850000000000001</v>
      </c>
      <c r="O229" s="9">
        <v>0.36199999999999999</v>
      </c>
      <c r="P229" s="9">
        <v>1.1791</v>
      </c>
      <c r="Q229" s="9">
        <v>29.874600000000001</v>
      </c>
      <c r="R229" s="9"/>
      <c r="S229" s="11"/>
    </row>
    <row r="230" spans="1:19" ht="15.75">
      <c r="A230" s="13">
        <v>48488</v>
      </c>
      <c r="B230" s="8">
        <f>7.9019 * CHOOSE(CONTROL!$C$15, $D$11, 100%, $F$11)</f>
        <v>7.9019000000000004</v>
      </c>
      <c r="C230" s="8">
        <f>7.9074 * CHOOSE(CONTROL!$C$15, $D$11, 100%, $F$11)</f>
        <v>7.9074</v>
      </c>
      <c r="D230" s="8">
        <f>7.9385 * CHOOSE( CONTROL!$C$15, $D$11, 100%, $F$11)</f>
        <v>7.9385000000000003</v>
      </c>
      <c r="E230" s="12">
        <f>7.9276 * CHOOSE( CONTROL!$C$15, $D$11, 100%, $F$11)</f>
        <v>7.9276</v>
      </c>
      <c r="F230" s="4">
        <f>8.616 * CHOOSE(CONTROL!$C$15, $D$11, 100%, $F$11)</f>
        <v>8.6159999999999997</v>
      </c>
      <c r="G230" s="8">
        <f>7.7049 * CHOOSE( CONTROL!$C$15, $D$11, 100%, $F$11)</f>
        <v>7.7049000000000003</v>
      </c>
      <c r="H230" s="4">
        <f>8.6501 * CHOOSE(CONTROL!$C$15, $D$11, 100%, $F$11)</f>
        <v>8.6501000000000001</v>
      </c>
      <c r="I230" s="8">
        <f>7.6778 * CHOOSE(CONTROL!$C$15, $D$11, 100%, $F$11)</f>
        <v>7.6778000000000004</v>
      </c>
      <c r="J230" s="4">
        <f>7.5591 * CHOOSE(CONTROL!$C$15, $D$11, 100%, $F$11)</f>
        <v>7.5590999999999999</v>
      </c>
      <c r="K230" s="4"/>
      <c r="L230" s="9">
        <v>31.095300000000002</v>
      </c>
      <c r="M230" s="9">
        <v>12.063700000000001</v>
      </c>
      <c r="N230" s="9">
        <v>4.9444999999999997</v>
      </c>
      <c r="O230" s="9">
        <v>0.37409999999999999</v>
      </c>
      <c r="P230" s="9">
        <v>1.2183999999999999</v>
      </c>
      <c r="Q230" s="9">
        <v>30.8704</v>
      </c>
      <c r="R230" s="9"/>
      <c r="S230" s="11"/>
    </row>
    <row r="231" spans="1:19" ht="15.75">
      <c r="A231" s="13">
        <v>48519</v>
      </c>
      <c r="B231" s="8">
        <f>8.5196 * CHOOSE(CONTROL!$C$15, $D$11, 100%, $F$11)</f>
        <v>8.5196000000000005</v>
      </c>
      <c r="C231" s="8">
        <f>8.5248 * CHOOSE(CONTROL!$C$15, $D$11, 100%, $F$11)</f>
        <v>8.5248000000000008</v>
      </c>
      <c r="D231" s="8">
        <f>8.511 * CHOOSE( CONTROL!$C$15, $D$11, 100%, $F$11)</f>
        <v>8.5109999999999992</v>
      </c>
      <c r="E231" s="12">
        <f>8.5155 * CHOOSE( CONTROL!$C$15, $D$11, 100%, $F$11)</f>
        <v>8.5154999999999994</v>
      </c>
      <c r="F231" s="4">
        <f>9.1701 * CHOOSE(CONTROL!$C$15, $D$11, 100%, $F$11)</f>
        <v>9.1700999999999997</v>
      </c>
      <c r="G231" s="8">
        <f>8.3162 * CHOOSE( CONTROL!$C$15, $D$11, 100%, $F$11)</f>
        <v>8.3162000000000003</v>
      </c>
      <c r="H231" s="4">
        <f>9.1912 * CHOOSE(CONTROL!$C$15, $D$11, 100%, $F$11)</f>
        <v>9.1912000000000003</v>
      </c>
      <c r="I231" s="8">
        <f>8.3152 * CHOOSE(CONTROL!$C$15, $D$11, 100%, $F$11)</f>
        <v>8.3152000000000008</v>
      </c>
      <c r="J231" s="4">
        <f>8.1525 * CHOOSE(CONTROL!$C$15, $D$11, 100%, $F$11)</f>
        <v>8.1524999999999999</v>
      </c>
      <c r="K231" s="4"/>
      <c r="L231" s="9">
        <v>28.360600000000002</v>
      </c>
      <c r="M231" s="9">
        <v>11.6745</v>
      </c>
      <c r="N231" s="9">
        <v>4.7850000000000001</v>
      </c>
      <c r="O231" s="9">
        <v>0.36199999999999999</v>
      </c>
      <c r="P231" s="9">
        <v>1.2509999999999999</v>
      </c>
      <c r="Q231" s="9">
        <v>29.874600000000001</v>
      </c>
      <c r="R231" s="9"/>
      <c r="S231" s="11"/>
    </row>
    <row r="232" spans="1:19" ht="15.75">
      <c r="A232" s="13">
        <v>48549</v>
      </c>
      <c r="B232" s="8">
        <f>8.5042 * CHOOSE(CONTROL!$C$15, $D$11, 100%, $F$11)</f>
        <v>8.5042000000000009</v>
      </c>
      <c r="C232" s="8">
        <f>8.5094 * CHOOSE(CONTROL!$C$15, $D$11, 100%, $F$11)</f>
        <v>8.5093999999999994</v>
      </c>
      <c r="D232" s="8">
        <f>8.4971 * CHOOSE( CONTROL!$C$15, $D$11, 100%, $F$11)</f>
        <v>8.4970999999999997</v>
      </c>
      <c r="E232" s="12">
        <f>8.501 * CHOOSE( CONTROL!$C$15, $D$11, 100%, $F$11)</f>
        <v>8.5009999999999994</v>
      </c>
      <c r="F232" s="4">
        <f>9.1547 * CHOOSE(CONTROL!$C$15, $D$11, 100%, $F$11)</f>
        <v>9.1547000000000001</v>
      </c>
      <c r="G232" s="8">
        <f>8.3022 * CHOOSE( CONTROL!$C$15, $D$11, 100%, $F$11)</f>
        <v>8.3021999999999991</v>
      </c>
      <c r="H232" s="4">
        <f>9.1761 * CHOOSE(CONTROL!$C$15, $D$11, 100%, $F$11)</f>
        <v>9.1760999999999999</v>
      </c>
      <c r="I232" s="8">
        <f>8.3051 * CHOOSE(CONTROL!$C$15, $D$11, 100%, $F$11)</f>
        <v>8.3050999999999995</v>
      </c>
      <c r="J232" s="4">
        <f>8.1377 * CHOOSE(CONTROL!$C$15, $D$11, 100%, $F$11)</f>
        <v>8.1377000000000006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30.8704</v>
      </c>
      <c r="R232" s="9"/>
      <c r="S232" s="11"/>
    </row>
    <row r="233" spans="1:19" ht="15.75">
      <c r="A233" s="13">
        <v>48580</v>
      </c>
      <c r="B233" s="8">
        <f>8.8027 * CHOOSE(CONTROL!$C$15, $D$11, 100%, $F$11)</f>
        <v>8.8026999999999997</v>
      </c>
      <c r="C233" s="8">
        <f>8.8078 * CHOOSE(CONTROL!$C$15, $D$11, 100%, $F$11)</f>
        <v>8.8078000000000003</v>
      </c>
      <c r="D233" s="8">
        <f>8.7903 * CHOOSE( CONTROL!$C$15, $D$11, 100%, $F$11)</f>
        <v>8.7903000000000002</v>
      </c>
      <c r="E233" s="12">
        <f>8.7962 * CHOOSE( CONTROL!$C$15, $D$11, 100%, $F$11)</f>
        <v>8.7962000000000007</v>
      </c>
      <c r="F233" s="4">
        <f>9.4531 * CHOOSE(CONTROL!$C$15, $D$11, 100%, $F$11)</f>
        <v>9.4530999999999992</v>
      </c>
      <c r="G233" s="8">
        <f>8.5837 * CHOOSE( CONTROL!$C$15, $D$11, 100%, $F$11)</f>
        <v>8.5837000000000003</v>
      </c>
      <c r="H233" s="4">
        <f>9.4677 * CHOOSE(CONTROL!$C$15, $D$11, 100%, $F$11)</f>
        <v>9.4677000000000007</v>
      </c>
      <c r="I233" s="8">
        <f>8.5516 * CHOOSE(CONTROL!$C$15, $D$11, 100%, $F$11)</f>
        <v>8.5516000000000005</v>
      </c>
      <c r="J233" s="4">
        <f>8.4243 * CHOOSE(CONTROL!$C$15, $D$11, 100%, $F$11)</f>
        <v>8.4243000000000006</v>
      </c>
      <c r="K233" s="4"/>
      <c r="L233" s="9">
        <v>29.306000000000001</v>
      </c>
      <c r="M233" s="9">
        <v>12.063700000000001</v>
      </c>
      <c r="N233" s="9">
        <v>4.9444999999999997</v>
      </c>
      <c r="O233" s="9">
        <v>0.37409999999999999</v>
      </c>
      <c r="P233" s="9">
        <v>1.2927</v>
      </c>
      <c r="Q233" s="9">
        <v>30.773700000000002</v>
      </c>
      <c r="R233" s="9"/>
      <c r="S233" s="11"/>
    </row>
    <row r="234" spans="1:19" ht="15.75">
      <c r="A234" s="13">
        <v>48611</v>
      </c>
      <c r="B234" s="8">
        <f>8.2354 * CHOOSE(CONTROL!$C$15, $D$11, 100%, $F$11)</f>
        <v>8.2354000000000003</v>
      </c>
      <c r="C234" s="8">
        <f>8.2406 * CHOOSE(CONTROL!$C$15, $D$11, 100%, $F$11)</f>
        <v>8.2406000000000006</v>
      </c>
      <c r="D234" s="8">
        <f>8.223 * CHOOSE( CONTROL!$C$15, $D$11, 100%, $F$11)</f>
        <v>8.2230000000000008</v>
      </c>
      <c r="E234" s="12">
        <f>8.2289 * CHOOSE( CONTROL!$C$15, $D$11, 100%, $F$11)</f>
        <v>8.2288999999999994</v>
      </c>
      <c r="F234" s="4">
        <f>8.8859 * CHOOSE(CONTROL!$C$15, $D$11, 100%, $F$11)</f>
        <v>8.8858999999999995</v>
      </c>
      <c r="G234" s="8">
        <f>8.0296 * CHOOSE( CONTROL!$C$15, $D$11, 100%, $F$11)</f>
        <v>8.0296000000000003</v>
      </c>
      <c r="H234" s="4">
        <f>8.9136 * CHOOSE(CONTROL!$C$15, $D$11, 100%, $F$11)</f>
        <v>8.9136000000000006</v>
      </c>
      <c r="I234" s="8">
        <f>8.0066 * CHOOSE(CONTROL!$C$15, $D$11, 100%, $F$11)</f>
        <v>8.0066000000000006</v>
      </c>
      <c r="J234" s="4">
        <f>7.8796 * CHOOSE(CONTROL!$C$15, $D$11, 100%, $F$11)</f>
        <v>7.8795999999999999</v>
      </c>
      <c r="K234" s="4"/>
      <c r="L234" s="9">
        <v>26.469899999999999</v>
      </c>
      <c r="M234" s="9">
        <v>10.8962</v>
      </c>
      <c r="N234" s="9">
        <v>4.4660000000000002</v>
      </c>
      <c r="O234" s="9">
        <v>0.33789999999999998</v>
      </c>
      <c r="P234" s="9">
        <v>1.1676</v>
      </c>
      <c r="Q234" s="9">
        <v>27.7956</v>
      </c>
      <c r="R234" s="9"/>
      <c r="S234" s="11"/>
    </row>
    <row r="235" spans="1:19" ht="15.75">
      <c r="A235" s="13">
        <v>48639</v>
      </c>
      <c r="B235" s="8">
        <f>8.0607 * CHOOSE(CONTROL!$C$15, $D$11, 100%, $F$11)</f>
        <v>8.0607000000000006</v>
      </c>
      <c r="C235" s="8">
        <f>8.0659 * CHOOSE(CONTROL!$C$15, $D$11, 100%, $F$11)</f>
        <v>8.0658999999999992</v>
      </c>
      <c r="D235" s="8">
        <f>8.0479 * CHOOSE( CONTROL!$C$15, $D$11, 100%, $F$11)</f>
        <v>8.0479000000000003</v>
      </c>
      <c r="E235" s="12">
        <f>8.0539 * CHOOSE( CONTROL!$C$15, $D$11, 100%, $F$11)</f>
        <v>8.0539000000000005</v>
      </c>
      <c r="F235" s="4">
        <f>8.7112 * CHOOSE(CONTROL!$C$15, $D$11, 100%, $F$11)</f>
        <v>8.7111999999999998</v>
      </c>
      <c r="G235" s="8">
        <f>7.8587 * CHOOSE( CONTROL!$C$15, $D$11, 100%, $F$11)</f>
        <v>7.8586999999999998</v>
      </c>
      <c r="H235" s="4">
        <f>8.743 * CHOOSE(CONTROL!$C$15, $D$11, 100%, $F$11)</f>
        <v>8.7430000000000003</v>
      </c>
      <c r="I235" s="8">
        <f>7.8376 * CHOOSE(CONTROL!$C$15, $D$11, 100%, $F$11)</f>
        <v>7.8376000000000001</v>
      </c>
      <c r="J235" s="4">
        <f>7.7119 * CHOOSE(CONTROL!$C$15, $D$11, 100%, $F$11)</f>
        <v>7.7119</v>
      </c>
      <c r="K235" s="4"/>
      <c r="L235" s="9">
        <v>29.306000000000001</v>
      </c>
      <c r="M235" s="9">
        <v>12.063700000000001</v>
      </c>
      <c r="N235" s="9">
        <v>4.9444999999999997</v>
      </c>
      <c r="O235" s="9">
        <v>0.37409999999999999</v>
      </c>
      <c r="P235" s="9">
        <v>1.2927</v>
      </c>
      <c r="Q235" s="9">
        <v>30.773700000000002</v>
      </c>
      <c r="R235" s="9"/>
      <c r="S235" s="11"/>
    </row>
    <row r="236" spans="1:19" ht="15.75">
      <c r="A236" s="13">
        <v>48670</v>
      </c>
      <c r="B236" s="8">
        <f>8.1835 * CHOOSE(CONTROL!$C$15, $D$11, 100%, $F$11)</f>
        <v>8.1835000000000004</v>
      </c>
      <c r="C236" s="8">
        <f>8.1882 * CHOOSE(CONTROL!$C$15, $D$11, 100%, $F$11)</f>
        <v>8.1882000000000001</v>
      </c>
      <c r="D236" s="8">
        <f>8.2193 * CHOOSE( CONTROL!$C$15, $D$11, 100%, $F$11)</f>
        <v>8.2193000000000005</v>
      </c>
      <c r="E236" s="12">
        <f>8.2085 * CHOOSE( CONTROL!$C$15, $D$11, 100%, $F$11)</f>
        <v>8.2085000000000008</v>
      </c>
      <c r="F236" s="4">
        <f>8.8973 * CHOOSE(CONTROL!$C$15, $D$11, 100%, $F$11)</f>
        <v>8.8972999999999995</v>
      </c>
      <c r="G236" s="8">
        <f>7.9788 * CHOOSE( CONTROL!$C$15, $D$11, 100%, $F$11)</f>
        <v>7.9787999999999997</v>
      </c>
      <c r="H236" s="4">
        <f>8.9248 * CHOOSE(CONTROL!$C$15, $D$11, 100%, $F$11)</f>
        <v>8.9247999999999994</v>
      </c>
      <c r="I236" s="8">
        <f>7.9454 * CHOOSE(CONTROL!$C$15, $D$11, 100%, $F$11)</f>
        <v>7.9454000000000002</v>
      </c>
      <c r="J236" s="4">
        <f>7.8291 * CHOOSE(CONTROL!$C$15, $D$11, 100%, $F$11)</f>
        <v>7.8291000000000004</v>
      </c>
      <c r="K236" s="4"/>
      <c r="L236" s="9">
        <v>30.092199999999998</v>
      </c>
      <c r="M236" s="9">
        <v>11.6745</v>
      </c>
      <c r="N236" s="9">
        <v>4.7850000000000001</v>
      </c>
      <c r="O236" s="9">
        <v>0.36199999999999999</v>
      </c>
      <c r="P236" s="9">
        <v>1.1791</v>
      </c>
      <c r="Q236" s="9">
        <v>29.780999999999999</v>
      </c>
      <c r="R236" s="9"/>
      <c r="S236" s="11"/>
    </row>
    <row r="237" spans="1:19" ht="15.75">
      <c r="A237" s="13">
        <v>48700</v>
      </c>
      <c r="B237" s="8">
        <f>CHOOSE( CONTROL!$C$32, 8.4078, 8.4022) * CHOOSE(CONTROL!$C$15, $D$11, 100%, $F$11)</f>
        <v>8.4077999999999999</v>
      </c>
      <c r="C237" s="8">
        <f>CHOOSE( CONTROL!$C$32, 8.4158, 8.4103) * CHOOSE(CONTROL!$C$15, $D$11, 100%, $F$11)</f>
        <v>8.4158000000000008</v>
      </c>
      <c r="D237" s="8">
        <f>CHOOSE( CONTROL!$C$32, 8.4418, 8.4362) * CHOOSE( CONTROL!$C$15, $D$11, 100%, $F$11)</f>
        <v>8.4418000000000006</v>
      </c>
      <c r="E237" s="12">
        <f>CHOOSE( CONTROL!$C$32, 8.4312, 8.4256) * CHOOSE( CONTROL!$C$15, $D$11, 100%, $F$11)</f>
        <v>8.4312000000000005</v>
      </c>
      <c r="F237" s="4">
        <f>CHOOSE( CONTROL!$C$32, 9.1202, 9.1146) * CHOOSE(CONTROL!$C$15, $D$11, 100%, $F$11)</f>
        <v>9.1202000000000005</v>
      </c>
      <c r="G237" s="8">
        <f>CHOOSE( CONTROL!$C$32, 8.1976, 8.1921) * CHOOSE( CONTROL!$C$15, $D$11, 100%, $F$11)</f>
        <v>8.1975999999999996</v>
      </c>
      <c r="H237" s="4">
        <f>CHOOSE( CONTROL!$C$32, 9.1424, 9.137) * CHOOSE(CONTROL!$C$15, $D$11, 100%, $F$11)</f>
        <v>9.1424000000000003</v>
      </c>
      <c r="I237" s="8">
        <f>CHOOSE( CONTROL!$C$32, 8.1594, 8.154) * CHOOSE(CONTROL!$C$15, $D$11, 100%, $F$11)</f>
        <v>8.1593999999999998</v>
      </c>
      <c r="J237" s="4">
        <f>CHOOSE( CONTROL!$C$32, 8.0431, 8.0377) * CHOOSE(CONTROL!$C$15, $D$11, 100%, $F$11)</f>
        <v>8.0431000000000008</v>
      </c>
      <c r="K237" s="4"/>
      <c r="L237" s="9">
        <v>30.7165</v>
      </c>
      <c r="M237" s="9">
        <v>12.063700000000001</v>
      </c>
      <c r="N237" s="9">
        <v>4.9444999999999997</v>
      </c>
      <c r="O237" s="9">
        <v>0.37409999999999999</v>
      </c>
      <c r="P237" s="9">
        <v>1.2183999999999999</v>
      </c>
      <c r="Q237" s="9">
        <v>30.773700000000002</v>
      </c>
      <c r="R237" s="9"/>
      <c r="S237" s="11"/>
    </row>
    <row r="238" spans="1:19" ht="15.75">
      <c r="A238" s="13">
        <v>48731</v>
      </c>
      <c r="B238" s="8">
        <f>CHOOSE( CONTROL!$C$32, 8.2732, 8.2676) * CHOOSE(CONTROL!$C$15, $D$11, 100%, $F$11)</f>
        <v>8.2731999999999992</v>
      </c>
      <c r="C238" s="8">
        <f>CHOOSE( CONTROL!$C$32, 8.2812, 8.2757) * CHOOSE(CONTROL!$C$15, $D$11, 100%, $F$11)</f>
        <v>8.2812000000000001</v>
      </c>
      <c r="D238" s="8">
        <f>CHOOSE( CONTROL!$C$32, 8.3074, 8.3018) * CHOOSE( CONTROL!$C$15, $D$11, 100%, $F$11)</f>
        <v>8.3073999999999995</v>
      </c>
      <c r="E238" s="12">
        <f>CHOOSE( CONTROL!$C$32, 8.2967, 8.2911) * CHOOSE( CONTROL!$C$15, $D$11, 100%, $F$11)</f>
        <v>8.2966999999999995</v>
      </c>
      <c r="F238" s="4">
        <f>CHOOSE( CONTROL!$C$32, 8.9856, 8.98) * CHOOSE(CONTROL!$C$15, $D$11, 100%, $F$11)</f>
        <v>8.9855999999999998</v>
      </c>
      <c r="G238" s="8">
        <f>CHOOSE( CONTROL!$C$32, 8.0664, 8.0609) * CHOOSE( CONTROL!$C$15, $D$11, 100%, $F$11)</f>
        <v>8.0663999999999998</v>
      </c>
      <c r="H238" s="4">
        <f>CHOOSE( CONTROL!$C$32, 9.011, 9.0055) * CHOOSE(CONTROL!$C$15, $D$11, 100%, $F$11)</f>
        <v>9.0109999999999992</v>
      </c>
      <c r="I238" s="8">
        <f>CHOOSE( CONTROL!$C$32, 8.0309, 8.0255) * CHOOSE(CONTROL!$C$15, $D$11, 100%, $F$11)</f>
        <v>8.0309000000000008</v>
      </c>
      <c r="J238" s="4">
        <f>CHOOSE( CONTROL!$C$32, 7.9138, 7.9085) * CHOOSE(CONTROL!$C$15, $D$11, 100%, $F$11)</f>
        <v>7.9138000000000002</v>
      </c>
      <c r="K238" s="4"/>
      <c r="L238" s="9">
        <v>29.7257</v>
      </c>
      <c r="M238" s="9">
        <v>11.6745</v>
      </c>
      <c r="N238" s="9">
        <v>4.7850000000000001</v>
      </c>
      <c r="O238" s="9">
        <v>0.36199999999999999</v>
      </c>
      <c r="P238" s="9">
        <v>1.1791</v>
      </c>
      <c r="Q238" s="9">
        <v>29.780999999999999</v>
      </c>
      <c r="R238" s="9"/>
      <c r="S238" s="11"/>
    </row>
    <row r="239" spans="1:19" ht="15.75">
      <c r="A239" s="13">
        <v>48761</v>
      </c>
      <c r="B239" s="8">
        <f>CHOOSE( CONTROL!$C$32, 8.6276, 8.622) * CHOOSE(CONTROL!$C$15, $D$11, 100%, $F$11)</f>
        <v>8.6275999999999993</v>
      </c>
      <c r="C239" s="8">
        <f>CHOOSE( CONTROL!$C$32, 8.6357, 8.6301) * CHOOSE(CONTROL!$C$15, $D$11, 100%, $F$11)</f>
        <v>8.6356999999999999</v>
      </c>
      <c r="D239" s="8">
        <f>CHOOSE( CONTROL!$C$32, 8.662, 8.6565) * CHOOSE( CONTROL!$C$15, $D$11, 100%, $F$11)</f>
        <v>8.6620000000000008</v>
      </c>
      <c r="E239" s="12">
        <f>CHOOSE( CONTROL!$C$32, 8.6512, 8.6457) * CHOOSE( CONTROL!$C$15, $D$11, 100%, $F$11)</f>
        <v>8.6511999999999993</v>
      </c>
      <c r="F239" s="4">
        <f>CHOOSE( CONTROL!$C$32, 9.34, 9.3344) * CHOOSE(CONTROL!$C$15, $D$11, 100%, $F$11)</f>
        <v>9.34</v>
      </c>
      <c r="G239" s="8">
        <f>CHOOSE( CONTROL!$C$32, 8.4129, 8.4074) * CHOOSE( CONTROL!$C$15, $D$11, 100%, $F$11)</f>
        <v>8.4129000000000005</v>
      </c>
      <c r="H239" s="4">
        <f>CHOOSE( CONTROL!$C$32, 9.3572, 9.3517) * CHOOSE(CONTROL!$C$15, $D$11, 100%, $F$11)</f>
        <v>9.3572000000000006</v>
      </c>
      <c r="I239" s="8">
        <f>CHOOSE( CONTROL!$C$32, 8.3723, 8.3669) * CHOOSE(CONTROL!$C$15, $D$11, 100%, $F$11)</f>
        <v>8.3722999999999992</v>
      </c>
      <c r="J239" s="4">
        <f>CHOOSE( CONTROL!$C$32, 8.2541, 8.2488) * CHOOSE(CONTROL!$C$15, $D$11, 100%, $F$11)</f>
        <v>8.2540999999999993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1.2183999999999999</v>
      </c>
      <c r="Q239" s="9">
        <v>30.773700000000002</v>
      </c>
      <c r="R239" s="9"/>
      <c r="S239" s="11"/>
    </row>
    <row r="240" spans="1:19" ht="15.75">
      <c r="A240" s="13">
        <v>48792</v>
      </c>
      <c r="B240" s="8">
        <f>CHOOSE( CONTROL!$C$32, 7.9644, 7.9588) * CHOOSE(CONTROL!$C$15, $D$11, 100%, $F$11)</f>
        <v>7.9644000000000004</v>
      </c>
      <c r="C240" s="8">
        <f>CHOOSE( CONTROL!$C$32, 7.9725, 7.9669) * CHOOSE(CONTROL!$C$15, $D$11, 100%, $F$11)</f>
        <v>7.9725000000000001</v>
      </c>
      <c r="D240" s="8">
        <f>CHOOSE( CONTROL!$C$32, 7.9989, 7.9933) * CHOOSE( CONTROL!$C$15, $D$11, 100%, $F$11)</f>
        <v>7.9988999999999999</v>
      </c>
      <c r="E240" s="12">
        <f>CHOOSE( CONTROL!$C$32, 7.9881, 7.9825) * CHOOSE( CONTROL!$C$15, $D$11, 100%, $F$11)</f>
        <v>7.9881000000000002</v>
      </c>
      <c r="F240" s="4">
        <f>CHOOSE( CONTROL!$C$32, 8.6768, 8.6712) * CHOOSE(CONTROL!$C$15, $D$11, 100%, $F$11)</f>
        <v>8.6768000000000001</v>
      </c>
      <c r="G240" s="8">
        <f>CHOOSE( CONTROL!$C$32, 7.7652, 7.7598) * CHOOSE( CONTROL!$C$15, $D$11, 100%, $F$11)</f>
        <v>7.7652000000000001</v>
      </c>
      <c r="H240" s="4">
        <f>CHOOSE( CONTROL!$C$32, 8.7094, 8.704) * CHOOSE(CONTROL!$C$15, $D$11, 100%, $F$11)</f>
        <v>8.7094000000000005</v>
      </c>
      <c r="I240" s="8">
        <f>CHOOSE( CONTROL!$C$32, 7.7355, 7.7302) * CHOOSE(CONTROL!$C$15, $D$11, 100%, $F$11)</f>
        <v>7.7355</v>
      </c>
      <c r="J240" s="4">
        <f>CHOOSE( CONTROL!$C$32, 7.6174, 7.6121) * CHOOSE(CONTROL!$C$15, $D$11, 100%, $F$11)</f>
        <v>7.6173999999999999</v>
      </c>
      <c r="K240" s="4"/>
      <c r="L240" s="9">
        <v>30.7165</v>
      </c>
      <c r="M240" s="9">
        <v>12.063700000000001</v>
      </c>
      <c r="N240" s="9">
        <v>4.9444999999999997</v>
      </c>
      <c r="O240" s="9">
        <v>0.37409999999999999</v>
      </c>
      <c r="P240" s="9">
        <v>1.2183999999999999</v>
      </c>
      <c r="Q240" s="9">
        <v>30.773700000000002</v>
      </c>
      <c r="R240" s="9"/>
      <c r="S240" s="11"/>
    </row>
    <row r="241" spans="1:19" ht="15.75">
      <c r="A241" s="13">
        <v>48823</v>
      </c>
      <c r="B241" s="8">
        <f>CHOOSE( CONTROL!$C$32, 7.7983, 7.7928) * CHOOSE(CONTROL!$C$15, $D$11, 100%, $F$11)</f>
        <v>7.7983000000000002</v>
      </c>
      <c r="C241" s="8">
        <f>CHOOSE( CONTROL!$C$32, 7.8064, 7.8008) * CHOOSE(CONTROL!$C$15, $D$11, 100%, $F$11)</f>
        <v>7.8064</v>
      </c>
      <c r="D241" s="8">
        <f>CHOOSE( CONTROL!$C$32, 7.8328, 7.8272) * CHOOSE( CONTROL!$C$15, $D$11, 100%, $F$11)</f>
        <v>7.8327999999999998</v>
      </c>
      <c r="E241" s="12">
        <f>CHOOSE( CONTROL!$C$32, 7.822, 7.8164) * CHOOSE( CONTROL!$C$15, $D$11, 100%, $F$11)</f>
        <v>7.8220000000000001</v>
      </c>
      <c r="F241" s="4">
        <f>CHOOSE( CONTROL!$C$32, 8.5107, 8.5051) * CHOOSE(CONTROL!$C$15, $D$11, 100%, $F$11)</f>
        <v>8.5106999999999999</v>
      </c>
      <c r="G241" s="8">
        <f>CHOOSE( CONTROL!$C$32, 7.6029, 7.5975) * CHOOSE( CONTROL!$C$15, $D$11, 100%, $F$11)</f>
        <v>7.6029</v>
      </c>
      <c r="H241" s="4">
        <f>CHOOSE( CONTROL!$C$32, 8.5472, 8.5418) * CHOOSE(CONTROL!$C$15, $D$11, 100%, $F$11)</f>
        <v>8.5472000000000001</v>
      </c>
      <c r="I241" s="8">
        <f>CHOOSE( CONTROL!$C$32, 7.5758, 7.5704) * CHOOSE(CONTROL!$C$15, $D$11, 100%, $F$11)</f>
        <v>7.5758000000000001</v>
      </c>
      <c r="J241" s="4">
        <f>CHOOSE( CONTROL!$C$32, 7.4579, 7.4526) * CHOOSE(CONTROL!$C$15, $D$11, 100%, $F$11)</f>
        <v>7.4579000000000004</v>
      </c>
      <c r="K241" s="4"/>
      <c r="L241" s="9">
        <v>29.7257</v>
      </c>
      <c r="M241" s="9">
        <v>11.6745</v>
      </c>
      <c r="N241" s="9">
        <v>4.7850000000000001</v>
      </c>
      <c r="O241" s="9">
        <v>0.36199999999999999</v>
      </c>
      <c r="P241" s="9">
        <v>1.1791</v>
      </c>
      <c r="Q241" s="9">
        <v>29.780999999999999</v>
      </c>
      <c r="R241" s="9"/>
      <c r="S241" s="11"/>
    </row>
    <row r="242" spans="1:19" ht="15.75">
      <c r="A242" s="13">
        <v>48853</v>
      </c>
      <c r="B242" s="8">
        <f>8.1359 * CHOOSE(CONTROL!$C$15, $D$11, 100%, $F$11)</f>
        <v>8.1358999999999995</v>
      </c>
      <c r="C242" s="8">
        <f>8.1413 * CHOOSE(CONTROL!$C$15, $D$11, 100%, $F$11)</f>
        <v>8.1412999999999993</v>
      </c>
      <c r="D242" s="8">
        <f>8.1725 * CHOOSE( CONTROL!$C$15, $D$11, 100%, $F$11)</f>
        <v>8.1724999999999994</v>
      </c>
      <c r="E242" s="12">
        <f>8.1616 * CHOOSE( CONTROL!$C$15, $D$11, 100%, $F$11)</f>
        <v>8.1616</v>
      </c>
      <c r="F242" s="4">
        <f>8.85 * CHOOSE(CONTROL!$C$15, $D$11, 100%, $F$11)</f>
        <v>8.85</v>
      </c>
      <c r="G242" s="8">
        <f>7.9334 * CHOOSE( CONTROL!$C$15, $D$11, 100%, $F$11)</f>
        <v>7.9333999999999998</v>
      </c>
      <c r="H242" s="4">
        <f>8.8786 * CHOOSE(CONTROL!$C$15, $D$11, 100%, $F$11)</f>
        <v>8.8786000000000005</v>
      </c>
      <c r="I242" s="8">
        <f>7.9025 * CHOOSE(CONTROL!$C$15, $D$11, 100%, $F$11)</f>
        <v>7.9024999999999999</v>
      </c>
      <c r="J242" s="4">
        <f>7.7837 * CHOOSE(CONTROL!$C$15, $D$11, 100%, $F$11)</f>
        <v>7.7836999999999996</v>
      </c>
      <c r="K242" s="4"/>
      <c r="L242" s="9">
        <v>31.095300000000002</v>
      </c>
      <c r="M242" s="9">
        <v>12.063700000000001</v>
      </c>
      <c r="N242" s="9">
        <v>4.9444999999999997</v>
      </c>
      <c r="O242" s="9">
        <v>0.37409999999999999</v>
      </c>
      <c r="P242" s="9">
        <v>1.2183999999999999</v>
      </c>
      <c r="Q242" s="9">
        <v>30.773700000000002</v>
      </c>
      <c r="R242" s="9"/>
      <c r="S242" s="11"/>
    </row>
    <row r="243" spans="1:19" ht="15.75">
      <c r="A243" s="13">
        <v>48884</v>
      </c>
      <c r="B243" s="8">
        <f>8.7719 * CHOOSE(CONTROL!$C$15, $D$11, 100%, $F$11)</f>
        <v>8.7719000000000005</v>
      </c>
      <c r="C243" s="8">
        <f>8.7771 * CHOOSE(CONTROL!$C$15, $D$11, 100%, $F$11)</f>
        <v>8.7771000000000008</v>
      </c>
      <c r="D243" s="8">
        <f>8.7634 * CHOOSE( CONTROL!$C$15, $D$11, 100%, $F$11)</f>
        <v>8.7634000000000007</v>
      </c>
      <c r="E243" s="12">
        <f>8.7679 * CHOOSE( CONTROL!$C$15, $D$11, 100%, $F$11)</f>
        <v>8.7678999999999991</v>
      </c>
      <c r="F243" s="4">
        <f>9.4224 * CHOOSE(CONTROL!$C$15, $D$11, 100%, $F$11)</f>
        <v>9.4223999999999997</v>
      </c>
      <c r="G243" s="8">
        <f>8.5627 * CHOOSE( CONTROL!$C$15, $D$11, 100%, $F$11)</f>
        <v>8.5626999999999995</v>
      </c>
      <c r="H243" s="4">
        <f>9.4377 * CHOOSE(CONTROL!$C$15, $D$11, 100%, $F$11)</f>
        <v>9.4376999999999995</v>
      </c>
      <c r="I243" s="8">
        <f>8.5575 * CHOOSE(CONTROL!$C$15, $D$11, 100%, $F$11)</f>
        <v>8.5574999999999992</v>
      </c>
      <c r="J243" s="4">
        <f>8.3948 * CHOOSE(CONTROL!$C$15, $D$11, 100%, $F$11)</f>
        <v>8.3948</v>
      </c>
      <c r="K243" s="4"/>
      <c r="L243" s="9">
        <v>28.360600000000002</v>
      </c>
      <c r="M243" s="9">
        <v>11.6745</v>
      </c>
      <c r="N243" s="9">
        <v>4.7850000000000001</v>
      </c>
      <c r="O243" s="9">
        <v>0.36199999999999999</v>
      </c>
      <c r="P243" s="9">
        <v>1.2509999999999999</v>
      </c>
      <c r="Q243" s="9">
        <v>29.780999999999999</v>
      </c>
      <c r="R243" s="9"/>
      <c r="S243" s="11"/>
    </row>
    <row r="244" spans="1:19" ht="15.75">
      <c r="A244" s="13">
        <v>48914</v>
      </c>
      <c r="B244" s="8">
        <f>8.756 * CHOOSE(CONTROL!$C$15, $D$11, 100%, $F$11)</f>
        <v>8.7560000000000002</v>
      </c>
      <c r="C244" s="8">
        <f>8.7612 * CHOOSE(CONTROL!$C$15, $D$11, 100%, $F$11)</f>
        <v>8.7612000000000005</v>
      </c>
      <c r="D244" s="8">
        <f>8.7489 * CHOOSE( CONTROL!$C$15, $D$11, 100%, $F$11)</f>
        <v>8.7489000000000008</v>
      </c>
      <c r="E244" s="12">
        <f>8.7528 * CHOOSE( CONTROL!$C$15, $D$11, 100%, $F$11)</f>
        <v>8.7528000000000006</v>
      </c>
      <c r="F244" s="4">
        <f>9.4065 * CHOOSE(CONTROL!$C$15, $D$11, 100%, $F$11)</f>
        <v>9.4064999999999994</v>
      </c>
      <c r="G244" s="8">
        <f>8.5482 * CHOOSE( CONTROL!$C$15, $D$11, 100%, $F$11)</f>
        <v>8.5481999999999996</v>
      </c>
      <c r="H244" s="4">
        <f>9.4221 * CHOOSE(CONTROL!$C$15, $D$11, 100%, $F$11)</f>
        <v>9.4221000000000004</v>
      </c>
      <c r="I244" s="8">
        <f>8.547 * CHOOSE(CONTROL!$C$15, $D$11, 100%, $F$11)</f>
        <v>8.5470000000000006</v>
      </c>
      <c r="J244" s="4">
        <f>8.3795 * CHOOSE(CONTROL!$C$15, $D$11, 100%, $F$11)</f>
        <v>8.3795000000000002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30.773700000000002</v>
      </c>
      <c r="R244" s="9"/>
      <c r="S244" s="11"/>
    </row>
    <row r="245" spans="1:19" ht="15.75">
      <c r="A245" s="13">
        <v>48945</v>
      </c>
      <c r="B245" s="8">
        <f>8.9781 * CHOOSE(CONTROL!$C$15, $D$11, 100%, $F$11)</f>
        <v>8.9780999999999995</v>
      </c>
      <c r="C245" s="8">
        <f>8.9833 * CHOOSE(CONTROL!$C$15, $D$11, 100%, $F$11)</f>
        <v>8.9832999999999998</v>
      </c>
      <c r="D245" s="8">
        <f>8.9658 * CHOOSE( CONTROL!$C$15, $D$11, 100%, $F$11)</f>
        <v>8.9657999999999998</v>
      </c>
      <c r="E245" s="12">
        <f>8.9716 * CHOOSE( CONTROL!$C$15, $D$11, 100%, $F$11)</f>
        <v>8.9716000000000005</v>
      </c>
      <c r="F245" s="4">
        <f>9.6286 * CHOOSE(CONTROL!$C$15, $D$11, 100%, $F$11)</f>
        <v>9.6286000000000005</v>
      </c>
      <c r="G245" s="8">
        <f>8.7551 * CHOOSE( CONTROL!$C$15, $D$11, 100%, $F$11)</f>
        <v>8.7551000000000005</v>
      </c>
      <c r="H245" s="4">
        <f>9.6391 * CHOOSE(CONTROL!$C$15, $D$11, 100%, $F$11)</f>
        <v>9.6390999999999991</v>
      </c>
      <c r="I245" s="8">
        <f>8.7202 * CHOOSE(CONTROL!$C$15, $D$11, 100%, $F$11)</f>
        <v>8.7202000000000002</v>
      </c>
      <c r="J245" s="4">
        <f>8.5927 * CHOOSE(CONTROL!$C$15, $D$11, 100%, $F$11)</f>
        <v>8.5927000000000007</v>
      </c>
      <c r="K245" s="4"/>
      <c r="L245" s="9">
        <v>29.306000000000001</v>
      </c>
      <c r="M245" s="9">
        <v>12.063700000000001</v>
      </c>
      <c r="N245" s="9">
        <v>4.9444999999999997</v>
      </c>
      <c r="O245" s="9">
        <v>0.37409999999999999</v>
      </c>
      <c r="P245" s="9">
        <v>1.2927</v>
      </c>
      <c r="Q245" s="9">
        <v>30.7105</v>
      </c>
      <c r="R245" s="9"/>
      <c r="S245" s="11"/>
    </row>
    <row r="246" spans="1:19" ht="15.75">
      <c r="A246" s="13">
        <v>48976</v>
      </c>
      <c r="B246" s="8">
        <f>8.3995 * CHOOSE(CONTROL!$C$15, $D$11, 100%, $F$11)</f>
        <v>8.3994999999999997</v>
      </c>
      <c r="C246" s="8">
        <f>8.4047 * CHOOSE(CONTROL!$C$15, $D$11, 100%, $F$11)</f>
        <v>8.4047000000000001</v>
      </c>
      <c r="D246" s="8">
        <f>8.3871 * CHOOSE( CONTROL!$C$15, $D$11, 100%, $F$11)</f>
        <v>8.3871000000000002</v>
      </c>
      <c r="E246" s="12">
        <f>8.393 * CHOOSE( CONTROL!$C$15, $D$11, 100%, $F$11)</f>
        <v>8.3930000000000007</v>
      </c>
      <c r="F246" s="4">
        <f>9.05 * CHOOSE(CONTROL!$C$15, $D$11, 100%, $F$11)</f>
        <v>9.0500000000000007</v>
      </c>
      <c r="G246" s="8">
        <f>8.19 * CHOOSE( CONTROL!$C$15, $D$11, 100%, $F$11)</f>
        <v>8.19</v>
      </c>
      <c r="H246" s="4">
        <f>9.0739 * CHOOSE(CONTROL!$C$15, $D$11, 100%, $F$11)</f>
        <v>9.0739000000000001</v>
      </c>
      <c r="I246" s="8">
        <f>8.1643 * CHOOSE(CONTROL!$C$15, $D$11, 100%, $F$11)</f>
        <v>8.1643000000000008</v>
      </c>
      <c r="J246" s="4">
        <f>8.0372 * CHOOSE(CONTROL!$C$15, $D$11, 100%, $F$11)</f>
        <v>8.0372000000000003</v>
      </c>
      <c r="K246" s="4"/>
      <c r="L246" s="9">
        <v>26.469899999999999</v>
      </c>
      <c r="M246" s="9">
        <v>10.8962</v>
      </c>
      <c r="N246" s="9">
        <v>4.4660000000000002</v>
      </c>
      <c r="O246" s="9">
        <v>0.33789999999999998</v>
      </c>
      <c r="P246" s="9">
        <v>1.1676</v>
      </c>
      <c r="Q246" s="9">
        <v>27.738499999999998</v>
      </c>
      <c r="R246" s="9"/>
      <c r="S246" s="11"/>
    </row>
    <row r="247" spans="1:19" ht="15.75">
      <c r="A247" s="13">
        <v>49004</v>
      </c>
      <c r="B247" s="8">
        <f>8.2213 * CHOOSE(CONTROL!$C$15, $D$11, 100%, $F$11)</f>
        <v>8.2212999999999994</v>
      </c>
      <c r="C247" s="8">
        <f>8.2265 * CHOOSE(CONTROL!$C$15, $D$11, 100%, $F$11)</f>
        <v>8.2264999999999997</v>
      </c>
      <c r="D247" s="8">
        <f>8.2085 * CHOOSE( CONTROL!$C$15, $D$11, 100%, $F$11)</f>
        <v>8.2085000000000008</v>
      </c>
      <c r="E247" s="12">
        <f>8.2145 * CHOOSE( CONTROL!$C$15, $D$11, 100%, $F$11)</f>
        <v>8.2144999999999992</v>
      </c>
      <c r="F247" s="4">
        <f>8.8718 * CHOOSE(CONTROL!$C$15, $D$11, 100%, $F$11)</f>
        <v>8.8718000000000004</v>
      </c>
      <c r="G247" s="8">
        <f>8.0156 * CHOOSE( CONTROL!$C$15, $D$11, 100%, $F$11)</f>
        <v>8.0155999999999992</v>
      </c>
      <c r="H247" s="4">
        <f>8.8999 * CHOOSE(CONTROL!$C$15, $D$11, 100%, $F$11)</f>
        <v>8.8999000000000006</v>
      </c>
      <c r="I247" s="8">
        <f>7.9919 * CHOOSE(CONTROL!$C$15, $D$11, 100%, $F$11)</f>
        <v>7.9919000000000002</v>
      </c>
      <c r="J247" s="4">
        <f>7.8661 * CHOOSE(CONTROL!$C$15, $D$11, 100%, $F$11)</f>
        <v>7.8661000000000003</v>
      </c>
      <c r="K247" s="4"/>
      <c r="L247" s="9">
        <v>29.306000000000001</v>
      </c>
      <c r="M247" s="9">
        <v>12.063700000000001</v>
      </c>
      <c r="N247" s="9">
        <v>4.9444999999999997</v>
      </c>
      <c r="O247" s="9">
        <v>0.37409999999999999</v>
      </c>
      <c r="P247" s="9">
        <v>1.2927</v>
      </c>
      <c r="Q247" s="9">
        <v>30.7105</v>
      </c>
      <c r="R247" s="9"/>
      <c r="S247" s="11"/>
    </row>
    <row r="248" spans="1:19" ht="15.75">
      <c r="A248" s="13">
        <v>49035</v>
      </c>
      <c r="B248" s="8">
        <f>8.3466 * CHOOSE(CONTROL!$C$15, $D$11, 100%, $F$11)</f>
        <v>8.3466000000000005</v>
      </c>
      <c r="C248" s="8">
        <f>8.3513 * CHOOSE(CONTROL!$C$15, $D$11, 100%, $F$11)</f>
        <v>8.3513000000000002</v>
      </c>
      <c r="D248" s="8">
        <f>8.3824 * CHOOSE( CONTROL!$C$15, $D$11, 100%, $F$11)</f>
        <v>8.3824000000000005</v>
      </c>
      <c r="E248" s="12">
        <f>8.3716 * CHOOSE( CONTROL!$C$15, $D$11, 100%, $F$11)</f>
        <v>8.3716000000000008</v>
      </c>
      <c r="F248" s="4">
        <f>9.0604 * CHOOSE(CONTROL!$C$15, $D$11, 100%, $F$11)</f>
        <v>9.0603999999999996</v>
      </c>
      <c r="G248" s="8">
        <f>8.1381 * CHOOSE( CONTROL!$C$15, $D$11, 100%, $F$11)</f>
        <v>8.1380999999999997</v>
      </c>
      <c r="H248" s="4">
        <f>9.0841 * CHOOSE(CONTROL!$C$15, $D$11, 100%, $F$11)</f>
        <v>9.0840999999999994</v>
      </c>
      <c r="I248" s="8">
        <f>8.102 * CHOOSE(CONTROL!$C$15, $D$11, 100%, $F$11)</f>
        <v>8.1020000000000003</v>
      </c>
      <c r="J248" s="4">
        <f>7.9857 * CHOOSE(CONTROL!$C$15, $D$11, 100%, $F$11)</f>
        <v>7.9856999999999996</v>
      </c>
      <c r="K248" s="4"/>
      <c r="L248" s="9">
        <v>30.092199999999998</v>
      </c>
      <c r="M248" s="9">
        <v>11.6745</v>
      </c>
      <c r="N248" s="9">
        <v>4.7850000000000001</v>
      </c>
      <c r="O248" s="9">
        <v>0.36199999999999999</v>
      </c>
      <c r="P248" s="9">
        <v>1.1791</v>
      </c>
      <c r="Q248" s="9">
        <v>29.719799999999999</v>
      </c>
      <c r="R248" s="9"/>
      <c r="S248" s="11"/>
    </row>
    <row r="249" spans="1:19" ht="15.75">
      <c r="A249" s="13">
        <v>49065</v>
      </c>
      <c r="B249" s="8">
        <f>CHOOSE( CONTROL!$C$32, 8.5752, 8.5696) * CHOOSE(CONTROL!$C$15, $D$11, 100%, $F$11)</f>
        <v>8.5752000000000006</v>
      </c>
      <c r="C249" s="8">
        <f>CHOOSE( CONTROL!$C$32, 8.5833, 8.5777) * CHOOSE(CONTROL!$C$15, $D$11, 100%, $F$11)</f>
        <v>8.5832999999999995</v>
      </c>
      <c r="D249" s="8">
        <f>CHOOSE( CONTROL!$C$32, 8.6093, 8.6037) * CHOOSE( CONTROL!$C$15, $D$11, 100%, $F$11)</f>
        <v>8.6092999999999993</v>
      </c>
      <c r="E249" s="12">
        <f>CHOOSE( CONTROL!$C$32, 8.5986, 8.593) * CHOOSE( CONTROL!$C$15, $D$11, 100%, $F$11)</f>
        <v>8.5985999999999994</v>
      </c>
      <c r="F249" s="4">
        <f>CHOOSE( CONTROL!$C$32, 9.2876, 9.282) * CHOOSE(CONTROL!$C$15, $D$11, 100%, $F$11)</f>
        <v>9.2875999999999994</v>
      </c>
      <c r="G249" s="8">
        <f>CHOOSE( CONTROL!$C$32, 8.3611, 8.3557) * CHOOSE( CONTROL!$C$15, $D$11, 100%, $F$11)</f>
        <v>8.3611000000000004</v>
      </c>
      <c r="H249" s="4">
        <f>CHOOSE( CONTROL!$C$32, 9.306, 9.3005) * CHOOSE(CONTROL!$C$15, $D$11, 100%, $F$11)</f>
        <v>9.3059999999999992</v>
      </c>
      <c r="I249" s="8">
        <f>CHOOSE( CONTROL!$C$32, 8.3202, 8.3148) * CHOOSE(CONTROL!$C$15, $D$11, 100%, $F$11)</f>
        <v>8.3201999999999998</v>
      </c>
      <c r="J249" s="4">
        <f>CHOOSE( CONTROL!$C$32, 8.2038, 8.1985) * CHOOSE(CONTROL!$C$15, $D$11, 100%, $F$11)</f>
        <v>8.2037999999999993</v>
      </c>
      <c r="K249" s="4"/>
      <c r="L249" s="9">
        <v>30.7165</v>
      </c>
      <c r="M249" s="9">
        <v>12.063700000000001</v>
      </c>
      <c r="N249" s="9">
        <v>4.9444999999999997</v>
      </c>
      <c r="O249" s="9">
        <v>0.37409999999999999</v>
      </c>
      <c r="P249" s="9">
        <v>1.2183999999999999</v>
      </c>
      <c r="Q249" s="9">
        <v>30.7105</v>
      </c>
      <c r="R249" s="9"/>
      <c r="S249" s="11"/>
    </row>
    <row r="250" spans="1:19" ht="15.75">
      <c r="A250" s="13">
        <v>49096</v>
      </c>
      <c r="B250" s="8">
        <f>CHOOSE( CONTROL!$C$32, 8.4379, 8.4323) * CHOOSE(CONTROL!$C$15, $D$11, 100%, $F$11)</f>
        <v>8.4379000000000008</v>
      </c>
      <c r="C250" s="8">
        <f>CHOOSE( CONTROL!$C$32, 8.446, 8.4404) * CHOOSE(CONTROL!$C$15, $D$11, 100%, $F$11)</f>
        <v>8.4459999999999997</v>
      </c>
      <c r="D250" s="8">
        <f>CHOOSE( CONTROL!$C$32, 8.4721, 8.4666) * CHOOSE( CONTROL!$C$15, $D$11, 100%, $F$11)</f>
        <v>8.4720999999999993</v>
      </c>
      <c r="E250" s="12">
        <f>CHOOSE( CONTROL!$C$32, 8.4614, 8.4559) * CHOOSE( CONTROL!$C$15, $D$11, 100%, $F$11)</f>
        <v>8.4613999999999994</v>
      </c>
      <c r="F250" s="4">
        <f>CHOOSE( CONTROL!$C$32, 9.1503, 9.1447) * CHOOSE(CONTROL!$C$15, $D$11, 100%, $F$11)</f>
        <v>9.1502999999999997</v>
      </c>
      <c r="G250" s="8">
        <f>CHOOSE( CONTROL!$C$32, 8.2273, 8.2218) * CHOOSE( CONTROL!$C$15, $D$11, 100%, $F$11)</f>
        <v>8.2272999999999996</v>
      </c>
      <c r="H250" s="4">
        <f>CHOOSE( CONTROL!$C$32, 9.1719, 9.1665) * CHOOSE(CONTROL!$C$15, $D$11, 100%, $F$11)</f>
        <v>9.1719000000000008</v>
      </c>
      <c r="I250" s="8">
        <f>CHOOSE( CONTROL!$C$32, 8.1891, 8.1838) * CHOOSE(CONTROL!$C$15, $D$11, 100%, $F$11)</f>
        <v>8.1890999999999998</v>
      </c>
      <c r="J250" s="4">
        <f>CHOOSE( CONTROL!$C$32, 8.072, 8.0667) * CHOOSE(CONTROL!$C$15, $D$11, 100%, $F$11)</f>
        <v>8.0719999999999992</v>
      </c>
      <c r="K250" s="4"/>
      <c r="L250" s="9">
        <v>29.7257</v>
      </c>
      <c r="M250" s="9">
        <v>11.6745</v>
      </c>
      <c r="N250" s="9">
        <v>4.7850000000000001</v>
      </c>
      <c r="O250" s="9">
        <v>0.36199999999999999</v>
      </c>
      <c r="P250" s="9">
        <v>1.1791</v>
      </c>
      <c r="Q250" s="9">
        <v>29.719799999999999</v>
      </c>
      <c r="R250" s="9"/>
      <c r="S250" s="11"/>
    </row>
    <row r="251" spans="1:19" ht="15.75">
      <c r="A251" s="13">
        <v>49126</v>
      </c>
      <c r="B251" s="8">
        <f>CHOOSE( CONTROL!$C$32, 8.7994, 8.7939) * CHOOSE(CONTROL!$C$15, $D$11, 100%, $F$11)</f>
        <v>8.7994000000000003</v>
      </c>
      <c r="C251" s="8">
        <f>CHOOSE( CONTROL!$C$32, 8.8075, 8.802) * CHOOSE(CONTROL!$C$15, $D$11, 100%, $F$11)</f>
        <v>8.8074999999999992</v>
      </c>
      <c r="D251" s="8">
        <f>CHOOSE( CONTROL!$C$32, 8.8339, 8.8283) * CHOOSE( CONTROL!$C$15, $D$11, 100%, $F$11)</f>
        <v>8.8338999999999999</v>
      </c>
      <c r="E251" s="12">
        <f>CHOOSE( CONTROL!$C$32, 8.8231, 8.8175) * CHOOSE( CONTROL!$C$15, $D$11, 100%, $F$11)</f>
        <v>8.8231000000000002</v>
      </c>
      <c r="F251" s="4">
        <f>CHOOSE( CONTROL!$C$32, 9.5118, 9.5063) * CHOOSE(CONTROL!$C$15, $D$11, 100%, $F$11)</f>
        <v>9.5117999999999991</v>
      </c>
      <c r="G251" s="8">
        <f>CHOOSE( CONTROL!$C$32, 8.5807, 8.5753) * CHOOSE( CONTROL!$C$15, $D$11, 100%, $F$11)</f>
        <v>8.5807000000000002</v>
      </c>
      <c r="H251" s="4">
        <f>CHOOSE( CONTROL!$C$32, 9.525, 9.5196) * CHOOSE(CONTROL!$C$15, $D$11, 100%, $F$11)</f>
        <v>9.5250000000000004</v>
      </c>
      <c r="I251" s="8">
        <f>CHOOSE( CONTROL!$C$32, 8.5374, 8.532) * CHOOSE(CONTROL!$C$15, $D$11, 100%, $F$11)</f>
        <v>8.5373999999999999</v>
      </c>
      <c r="J251" s="4">
        <f>CHOOSE( CONTROL!$C$32, 8.4191, 8.4138) * CHOOSE(CONTROL!$C$15, $D$11, 100%, $F$11)</f>
        <v>8.4191000000000003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1.2183999999999999</v>
      </c>
      <c r="Q251" s="9">
        <v>30.7105</v>
      </c>
      <c r="R251" s="9"/>
      <c r="S251" s="11"/>
    </row>
    <row r="252" spans="1:19" ht="15.75">
      <c r="A252" s="13">
        <v>49157</v>
      </c>
      <c r="B252" s="8">
        <f>CHOOSE( CONTROL!$C$32, 8.123, 8.1174) * CHOOSE(CONTROL!$C$15, $D$11, 100%, $F$11)</f>
        <v>8.1229999999999993</v>
      </c>
      <c r="C252" s="8">
        <f>CHOOSE( CONTROL!$C$32, 8.1311, 8.1255) * CHOOSE(CONTROL!$C$15, $D$11, 100%, $F$11)</f>
        <v>8.1311</v>
      </c>
      <c r="D252" s="8">
        <f>CHOOSE( CONTROL!$C$32, 8.1575, 8.1519) * CHOOSE( CONTROL!$C$15, $D$11, 100%, $F$11)</f>
        <v>8.1575000000000006</v>
      </c>
      <c r="E252" s="12">
        <f>CHOOSE( CONTROL!$C$32, 8.1467, 8.1411) * CHOOSE( CONTROL!$C$15, $D$11, 100%, $F$11)</f>
        <v>8.1466999999999992</v>
      </c>
      <c r="F252" s="4">
        <f>CHOOSE( CONTROL!$C$32, 8.8354, 8.8298) * CHOOSE(CONTROL!$C$15, $D$11, 100%, $F$11)</f>
        <v>8.8353999999999999</v>
      </c>
      <c r="G252" s="8">
        <f>CHOOSE( CONTROL!$C$32, 7.9201, 7.9146) * CHOOSE( CONTROL!$C$15, $D$11, 100%, $F$11)</f>
        <v>7.9200999999999997</v>
      </c>
      <c r="H252" s="4">
        <f>CHOOSE( CONTROL!$C$32, 8.8643, 8.8589) * CHOOSE(CONTROL!$C$15, $D$11, 100%, $F$11)</f>
        <v>8.8643000000000001</v>
      </c>
      <c r="I252" s="8">
        <f>CHOOSE( CONTROL!$C$32, 7.8878, 7.8825) * CHOOSE(CONTROL!$C$15, $D$11, 100%, $F$11)</f>
        <v>7.8878000000000004</v>
      </c>
      <c r="J252" s="4">
        <f>CHOOSE( CONTROL!$C$32, 7.7696, 7.7643) * CHOOSE(CONTROL!$C$15, $D$11, 100%, $F$11)</f>
        <v>7.7695999999999996</v>
      </c>
      <c r="K252" s="4"/>
      <c r="L252" s="9">
        <v>30.7165</v>
      </c>
      <c r="M252" s="9">
        <v>12.063700000000001</v>
      </c>
      <c r="N252" s="9">
        <v>4.9444999999999997</v>
      </c>
      <c r="O252" s="9">
        <v>0.37409999999999999</v>
      </c>
      <c r="P252" s="9">
        <v>1.2183999999999999</v>
      </c>
      <c r="Q252" s="9">
        <v>30.7105</v>
      </c>
      <c r="R252" s="9"/>
      <c r="S252" s="11"/>
    </row>
    <row r="253" spans="1:19" ht="15.75">
      <c r="A253" s="13">
        <v>49188</v>
      </c>
      <c r="B253" s="8">
        <f>CHOOSE( CONTROL!$C$32, 7.9536, 7.948) * CHOOSE(CONTROL!$C$15, $D$11, 100%, $F$11)</f>
        <v>7.9535999999999998</v>
      </c>
      <c r="C253" s="8">
        <f>CHOOSE( CONTROL!$C$32, 7.9617, 7.9561) * CHOOSE(CONTROL!$C$15, $D$11, 100%, $F$11)</f>
        <v>7.9617000000000004</v>
      </c>
      <c r="D253" s="8">
        <f>CHOOSE( CONTROL!$C$32, 7.988, 7.9824) * CHOOSE( CONTROL!$C$15, $D$11, 100%, $F$11)</f>
        <v>7.9880000000000004</v>
      </c>
      <c r="E253" s="12">
        <f>CHOOSE( CONTROL!$C$32, 7.9772, 7.9716) * CHOOSE( CONTROL!$C$15, $D$11, 100%, $F$11)</f>
        <v>7.9771999999999998</v>
      </c>
      <c r="F253" s="4">
        <f>CHOOSE( CONTROL!$C$32, 8.666, 8.6604) * CHOOSE(CONTROL!$C$15, $D$11, 100%, $F$11)</f>
        <v>8.6660000000000004</v>
      </c>
      <c r="G253" s="8">
        <f>CHOOSE( CONTROL!$C$32, 7.7545, 7.7491) * CHOOSE( CONTROL!$C$15, $D$11, 100%, $F$11)</f>
        <v>7.7545000000000002</v>
      </c>
      <c r="H253" s="4">
        <f>CHOOSE( CONTROL!$C$32, 8.6988, 8.6934) * CHOOSE(CONTROL!$C$15, $D$11, 100%, $F$11)</f>
        <v>8.6988000000000003</v>
      </c>
      <c r="I253" s="8">
        <f>CHOOSE( CONTROL!$C$32, 7.7249, 7.7195) * CHOOSE(CONTROL!$C$15, $D$11, 100%, $F$11)</f>
        <v>7.7248999999999999</v>
      </c>
      <c r="J253" s="4">
        <f>CHOOSE( CONTROL!$C$32, 7.607, 7.6017) * CHOOSE(CONTROL!$C$15, $D$11, 100%, $F$11)</f>
        <v>7.6070000000000002</v>
      </c>
      <c r="K253" s="4"/>
      <c r="L253" s="9">
        <v>29.7257</v>
      </c>
      <c r="M253" s="9">
        <v>11.6745</v>
      </c>
      <c r="N253" s="9">
        <v>4.7850000000000001</v>
      </c>
      <c r="O253" s="9">
        <v>0.36199999999999999</v>
      </c>
      <c r="P253" s="9">
        <v>1.1791</v>
      </c>
      <c r="Q253" s="9">
        <v>29.719799999999999</v>
      </c>
      <c r="R253" s="9"/>
      <c r="S253" s="11"/>
    </row>
    <row r="254" spans="1:19" ht="15.75">
      <c r="A254" s="13">
        <v>49218</v>
      </c>
      <c r="B254" s="8">
        <f>8.298 * CHOOSE(CONTROL!$C$15, $D$11, 100%, $F$11)</f>
        <v>8.298</v>
      </c>
      <c r="C254" s="8">
        <f>8.3034 * CHOOSE(CONTROL!$C$15, $D$11, 100%, $F$11)</f>
        <v>8.3033999999999999</v>
      </c>
      <c r="D254" s="8">
        <f>8.3346 * CHOOSE( CONTROL!$C$15, $D$11, 100%, $F$11)</f>
        <v>8.3346</v>
      </c>
      <c r="E254" s="12">
        <f>8.3237 * CHOOSE( CONTROL!$C$15, $D$11, 100%, $F$11)</f>
        <v>8.3237000000000005</v>
      </c>
      <c r="F254" s="4">
        <f>9.0121 * CHOOSE(CONTROL!$C$15, $D$11, 100%, $F$11)</f>
        <v>9.0121000000000002</v>
      </c>
      <c r="G254" s="8">
        <f>8.0918 * CHOOSE( CONTROL!$C$15, $D$11, 100%, $F$11)</f>
        <v>8.0917999999999992</v>
      </c>
      <c r="H254" s="4">
        <f>9.0369 * CHOOSE(CONTROL!$C$15, $D$11, 100%, $F$11)</f>
        <v>9.0368999999999993</v>
      </c>
      <c r="I254" s="8">
        <f>8.0583 * CHOOSE(CONTROL!$C$15, $D$11, 100%, $F$11)</f>
        <v>8.0582999999999991</v>
      </c>
      <c r="J254" s="4">
        <f>7.9393 * CHOOSE(CONTROL!$C$15, $D$11, 100%, $F$11)</f>
        <v>7.9393000000000002</v>
      </c>
      <c r="K254" s="4"/>
      <c r="L254" s="9">
        <v>31.095300000000002</v>
      </c>
      <c r="M254" s="9">
        <v>12.063700000000001</v>
      </c>
      <c r="N254" s="9">
        <v>4.9444999999999997</v>
      </c>
      <c r="O254" s="9">
        <v>0.37409999999999999</v>
      </c>
      <c r="P254" s="9">
        <v>1.2183999999999999</v>
      </c>
      <c r="Q254" s="9">
        <v>30.7105</v>
      </c>
      <c r="R254" s="9"/>
      <c r="S254" s="11"/>
    </row>
    <row r="255" spans="1:19" ht="15.75">
      <c r="A255" s="13">
        <v>49249</v>
      </c>
      <c r="B255" s="8">
        <f>8.9468 * CHOOSE(CONTROL!$C$15, $D$11, 100%, $F$11)</f>
        <v>8.9467999999999996</v>
      </c>
      <c r="C255" s="8">
        <f>8.952 * CHOOSE(CONTROL!$C$15, $D$11, 100%, $F$11)</f>
        <v>8.952</v>
      </c>
      <c r="D255" s="8">
        <f>8.9382 * CHOOSE( CONTROL!$C$15, $D$11, 100%, $F$11)</f>
        <v>8.9382000000000001</v>
      </c>
      <c r="E255" s="12">
        <f>8.9427 * CHOOSE( CONTROL!$C$15, $D$11, 100%, $F$11)</f>
        <v>8.9427000000000003</v>
      </c>
      <c r="F255" s="4">
        <f>9.5973 * CHOOSE(CONTROL!$C$15, $D$11, 100%, $F$11)</f>
        <v>9.5973000000000006</v>
      </c>
      <c r="G255" s="8">
        <f>8.7335 * CHOOSE( CONTROL!$C$15, $D$11, 100%, $F$11)</f>
        <v>8.7334999999999994</v>
      </c>
      <c r="H255" s="4">
        <f>9.6085 * CHOOSE(CONTROL!$C$15, $D$11, 100%, $F$11)</f>
        <v>9.6084999999999994</v>
      </c>
      <c r="I255" s="8">
        <f>8.7255 * CHOOSE(CONTROL!$C$15, $D$11, 100%, $F$11)</f>
        <v>8.7255000000000003</v>
      </c>
      <c r="J255" s="4">
        <f>8.5627 * CHOOSE(CONTROL!$C$15, $D$11, 100%, $F$11)</f>
        <v>8.5626999999999995</v>
      </c>
      <c r="K255" s="4"/>
      <c r="L255" s="9">
        <v>28.360600000000002</v>
      </c>
      <c r="M255" s="9">
        <v>11.6745</v>
      </c>
      <c r="N255" s="9">
        <v>4.7850000000000001</v>
      </c>
      <c r="O255" s="9">
        <v>0.36199999999999999</v>
      </c>
      <c r="P255" s="9">
        <v>1.2509999999999999</v>
      </c>
      <c r="Q255" s="9">
        <v>29.719799999999999</v>
      </c>
      <c r="R255" s="9"/>
      <c r="S255" s="11"/>
    </row>
    <row r="256" spans="1:19" ht="15.75">
      <c r="A256" s="13">
        <v>49279</v>
      </c>
      <c r="B256" s="8">
        <f>8.9306 * CHOOSE(CONTROL!$C$15, $D$11, 100%, $F$11)</f>
        <v>8.9306000000000001</v>
      </c>
      <c r="C256" s="8">
        <f>8.9358 * CHOOSE(CONTROL!$C$15, $D$11, 100%, $F$11)</f>
        <v>8.9358000000000004</v>
      </c>
      <c r="D256" s="8">
        <f>8.9235 * CHOOSE( CONTROL!$C$15, $D$11, 100%, $F$11)</f>
        <v>8.9235000000000007</v>
      </c>
      <c r="E256" s="12">
        <f>8.9274 * CHOOSE( CONTROL!$C$15, $D$11, 100%, $F$11)</f>
        <v>8.9274000000000004</v>
      </c>
      <c r="F256" s="4">
        <f>9.5811 * CHOOSE(CONTROL!$C$15, $D$11, 100%, $F$11)</f>
        <v>9.5810999999999993</v>
      </c>
      <c r="G256" s="8">
        <f>8.7187 * CHOOSE( CONTROL!$C$15, $D$11, 100%, $F$11)</f>
        <v>8.7187000000000001</v>
      </c>
      <c r="H256" s="4">
        <f>9.5926 * CHOOSE(CONTROL!$C$15, $D$11, 100%, $F$11)</f>
        <v>9.5925999999999991</v>
      </c>
      <c r="I256" s="8">
        <f>8.7147 * CHOOSE(CONTROL!$C$15, $D$11, 100%, $F$11)</f>
        <v>8.7147000000000006</v>
      </c>
      <c r="J256" s="4">
        <f>8.5471 * CHOOSE(CONTROL!$C$15, $D$11, 100%, $F$11)</f>
        <v>8.5471000000000004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30.7105</v>
      </c>
      <c r="R256" s="9"/>
      <c r="S256" s="11"/>
    </row>
    <row r="257" spans="1:19" ht="15.75">
      <c r="A257" s="13">
        <v>49310</v>
      </c>
      <c r="B257" s="8">
        <f>9.1571 * CHOOSE(CONTROL!$C$15, $D$11, 100%, $F$11)</f>
        <v>9.1570999999999998</v>
      </c>
      <c r="C257" s="8">
        <f>9.1623 * CHOOSE(CONTROL!$C$15, $D$11, 100%, $F$11)</f>
        <v>9.1623000000000001</v>
      </c>
      <c r="D257" s="8">
        <f>9.1448 * CHOOSE( CONTROL!$C$15, $D$11, 100%, $F$11)</f>
        <v>9.1448</v>
      </c>
      <c r="E257" s="12">
        <f>9.1506 * CHOOSE( CONTROL!$C$15, $D$11, 100%, $F$11)</f>
        <v>9.1506000000000007</v>
      </c>
      <c r="F257" s="4">
        <f>9.8076 * CHOOSE(CONTROL!$C$15, $D$11, 100%, $F$11)</f>
        <v>9.8076000000000008</v>
      </c>
      <c r="G257" s="8">
        <f>8.9299 * CHOOSE( CONTROL!$C$15, $D$11, 100%, $F$11)</f>
        <v>8.9298999999999999</v>
      </c>
      <c r="H257" s="4">
        <f>9.8139 * CHOOSE(CONTROL!$C$15, $D$11, 100%, $F$11)</f>
        <v>9.8139000000000003</v>
      </c>
      <c r="I257" s="8">
        <f>8.8921 * CHOOSE(CONTROL!$C$15, $D$11, 100%, $F$11)</f>
        <v>8.8920999999999992</v>
      </c>
      <c r="J257" s="4">
        <f>8.7646 * CHOOSE(CONTROL!$C$15, $D$11, 100%, $F$11)</f>
        <v>8.7645999999999997</v>
      </c>
      <c r="K257" s="4"/>
      <c r="L257" s="9">
        <v>29.306000000000001</v>
      </c>
      <c r="M257" s="9">
        <v>12.063700000000001</v>
      </c>
      <c r="N257" s="9">
        <v>4.9444999999999997</v>
      </c>
      <c r="O257" s="9">
        <v>0.37409999999999999</v>
      </c>
      <c r="P257" s="9">
        <v>1.2927</v>
      </c>
      <c r="Q257" s="9">
        <v>30.645399999999999</v>
      </c>
      <c r="R257" s="9"/>
      <c r="S257" s="11"/>
    </row>
    <row r="258" spans="1:19" ht="15.75">
      <c r="A258" s="13">
        <v>49341</v>
      </c>
      <c r="B258" s="8">
        <f>8.567 * CHOOSE(CONTROL!$C$15, $D$11, 100%, $F$11)</f>
        <v>8.5670000000000002</v>
      </c>
      <c r="C258" s="8">
        <f>8.5722 * CHOOSE(CONTROL!$C$15, $D$11, 100%, $F$11)</f>
        <v>8.5722000000000005</v>
      </c>
      <c r="D258" s="8">
        <f>8.5545 * CHOOSE( CONTROL!$C$15, $D$11, 100%, $F$11)</f>
        <v>8.5545000000000009</v>
      </c>
      <c r="E258" s="12">
        <f>8.5604 * CHOOSE( CONTROL!$C$15, $D$11, 100%, $F$11)</f>
        <v>8.5603999999999996</v>
      </c>
      <c r="F258" s="4">
        <f>9.2174 * CHOOSE(CONTROL!$C$15, $D$11, 100%, $F$11)</f>
        <v>9.2173999999999996</v>
      </c>
      <c r="G258" s="8">
        <f>8.3535 * CHOOSE( CONTROL!$C$15, $D$11, 100%, $F$11)</f>
        <v>8.3535000000000004</v>
      </c>
      <c r="H258" s="4">
        <f>9.2375 * CHOOSE(CONTROL!$C$15, $D$11, 100%, $F$11)</f>
        <v>9.2375000000000007</v>
      </c>
      <c r="I258" s="8">
        <f>8.3251 * CHOOSE(CONTROL!$C$15, $D$11, 100%, $F$11)</f>
        <v>8.3251000000000008</v>
      </c>
      <c r="J258" s="4">
        <f>8.198 * CHOOSE(CONTROL!$C$15, $D$11, 100%, $F$11)</f>
        <v>8.1980000000000004</v>
      </c>
      <c r="K258" s="4"/>
      <c r="L258" s="9">
        <v>26.469899999999999</v>
      </c>
      <c r="M258" s="9">
        <v>10.8962</v>
      </c>
      <c r="N258" s="9">
        <v>4.4660000000000002</v>
      </c>
      <c r="O258" s="9">
        <v>0.33789999999999998</v>
      </c>
      <c r="P258" s="9">
        <v>1.1676</v>
      </c>
      <c r="Q258" s="9">
        <v>27.6797</v>
      </c>
      <c r="R258" s="9"/>
      <c r="S258" s="11"/>
    </row>
    <row r="259" spans="1:19" ht="15.75">
      <c r="A259" s="13">
        <v>49369</v>
      </c>
      <c r="B259" s="8">
        <f>8.3852 * CHOOSE(CONTROL!$C$15, $D$11, 100%, $F$11)</f>
        <v>8.3851999999999993</v>
      </c>
      <c r="C259" s="8">
        <f>8.3904 * CHOOSE(CONTROL!$C$15, $D$11, 100%, $F$11)</f>
        <v>8.3903999999999996</v>
      </c>
      <c r="D259" s="8">
        <f>8.3724 * CHOOSE( CONTROL!$C$15, $D$11, 100%, $F$11)</f>
        <v>8.3724000000000007</v>
      </c>
      <c r="E259" s="12">
        <f>8.3784 * CHOOSE( CONTROL!$C$15, $D$11, 100%, $F$11)</f>
        <v>8.3783999999999992</v>
      </c>
      <c r="F259" s="4">
        <f>9.0357 * CHOOSE(CONTROL!$C$15, $D$11, 100%, $F$11)</f>
        <v>9.0357000000000003</v>
      </c>
      <c r="G259" s="8">
        <f>8.1757 * CHOOSE( CONTROL!$C$15, $D$11, 100%, $F$11)</f>
        <v>8.1757000000000009</v>
      </c>
      <c r="H259" s="4">
        <f>9.0599 * CHOOSE(CONTROL!$C$15, $D$11, 100%, $F$11)</f>
        <v>9.0599000000000007</v>
      </c>
      <c r="I259" s="8">
        <f>8.1493 * CHOOSE(CONTROL!$C$15, $D$11, 100%, $F$11)</f>
        <v>8.1493000000000002</v>
      </c>
      <c r="J259" s="4">
        <f>8.0235 * CHOOSE(CONTROL!$C$15, $D$11, 100%, $F$11)</f>
        <v>8.0235000000000003</v>
      </c>
      <c r="K259" s="4"/>
      <c r="L259" s="9">
        <v>29.306000000000001</v>
      </c>
      <c r="M259" s="9">
        <v>12.063700000000001</v>
      </c>
      <c r="N259" s="9">
        <v>4.9444999999999997</v>
      </c>
      <c r="O259" s="9">
        <v>0.37409999999999999</v>
      </c>
      <c r="P259" s="9">
        <v>1.2927</v>
      </c>
      <c r="Q259" s="9">
        <v>30.645399999999999</v>
      </c>
      <c r="R259" s="9"/>
      <c r="S259" s="11"/>
    </row>
    <row r="260" spans="1:19" ht="15.75">
      <c r="A260" s="13">
        <v>49400</v>
      </c>
      <c r="B260" s="8">
        <f>8.513 * CHOOSE(CONTROL!$C$15, $D$11, 100%, $F$11)</f>
        <v>8.5129999999999999</v>
      </c>
      <c r="C260" s="8">
        <f>8.5176 * CHOOSE(CONTROL!$C$15, $D$11, 100%, $F$11)</f>
        <v>8.5175999999999998</v>
      </c>
      <c r="D260" s="8">
        <f>8.5487 * CHOOSE( CONTROL!$C$15, $D$11, 100%, $F$11)</f>
        <v>8.5487000000000002</v>
      </c>
      <c r="E260" s="12">
        <f>8.5379 * CHOOSE( CONTROL!$C$15, $D$11, 100%, $F$11)</f>
        <v>8.5379000000000005</v>
      </c>
      <c r="F260" s="4">
        <f>9.2267 * CHOOSE(CONTROL!$C$15, $D$11, 100%, $F$11)</f>
        <v>9.2266999999999992</v>
      </c>
      <c r="G260" s="8">
        <f>8.3006 * CHOOSE( CONTROL!$C$15, $D$11, 100%, $F$11)</f>
        <v>8.3005999999999993</v>
      </c>
      <c r="H260" s="4">
        <f>9.2466 * CHOOSE(CONTROL!$C$15, $D$11, 100%, $F$11)</f>
        <v>9.2466000000000008</v>
      </c>
      <c r="I260" s="8">
        <f>8.2618 * CHOOSE(CONTROL!$C$15, $D$11, 100%, $F$11)</f>
        <v>8.2617999999999991</v>
      </c>
      <c r="J260" s="4">
        <f>8.1454 * CHOOSE(CONTROL!$C$15, $D$11, 100%, $F$11)</f>
        <v>8.1454000000000004</v>
      </c>
      <c r="K260" s="4"/>
      <c r="L260" s="9">
        <v>30.092199999999998</v>
      </c>
      <c r="M260" s="9">
        <v>11.6745</v>
      </c>
      <c r="N260" s="9">
        <v>4.7850000000000001</v>
      </c>
      <c r="O260" s="9">
        <v>0.36199999999999999</v>
      </c>
      <c r="P260" s="9">
        <v>1.1791</v>
      </c>
      <c r="Q260" s="9">
        <v>29.6568</v>
      </c>
      <c r="R260" s="9"/>
      <c r="S260" s="11"/>
    </row>
    <row r="261" spans="1:19" ht="15.75">
      <c r="A261" s="13">
        <v>49430</v>
      </c>
      <c r="B261" s="8">
        <f>CHOOSE( CONTROL!$C$32, 8.746, 8.7404) * CHOOSE(CONTROL!$C$15, $D$11, 100%, $F$11)</f>
        <v>8.7460000000000004</v>
      </c>
      <c r="C261" s="8">
        <f>CHOOSE( CONTROL!$C$32, 8.7541, 8.7485) * CHOOSE(CONTROL!$C$15, $D$11, 100%, $F$11)</f>
        <v>8.7540999999999993</v>
      </c>
      <c r="D261" s="8">
        <f>CHOOSE( CONTROL!$C$32, 8.78, 8.7745) * CHOOSE( CONTROL!$C$15, $D$11, 100%, $F$11)</f>
        <v>8.7799999999999994</v>
      </c>
      <c r="E261" s="12">
        <f>CHOOSE( CONTROL!$C$32, 8.7694, 8.7638) * CHOOSE( CONTROL!$C$15, $D$11, 100%, $F$11)</f>
        <v>8.7693999999999992</v>
      </c>
      <c r="F261" s="4">
        <f>CHOOSE( CONTROL!$C$32, 9.4584, 9.4528) * CHOOSE(CONTROL!$C$15, $D$11, 100%, $F$11)</f>
        <v>9.4583999999999993</v>
      </c>
      <c r="G261" s="8">
        <f>CHOOSE( CONTROL!$C$32, 8.5279, 8.5225) * CHOOSE( CONTROL!$C$15, $D$11, 100%, $F$11)</f>
        <v>8.5279000000000007</v>
      </c>
      <c r="H261" s="4">
        <f>CHOOSE( CONTROL!$C$32, 9.4728, 9.4673) * CHOOSE(CONTROL!$C$15, $D$11, 100%, $F$11)</f>
        <v>9.4727999999999994</v>
      </c>
      <c r="I261" s="8">
        <f>CHOOSE( CONTROL!$C$32, 8.4842, 8.4789) * CHOOSE(CONTROL!$C$15, $D$11, 100%, $F$11)</f>
        <v>8.4841999999999995</v>
      </c>
      <c r="J261" s="4">
        <f>CHOOSE( CONTROL!$C$32, 8.3678, 8.3624) * CHOOSE(CONTROL!$C$15, $D$11, 100%, $F$11)</f>
        <v>8.3678000000000008</v>
      </c>
      <c r="K261" s="4"/>
      <c r="L261" s="9">
        <v>30.7165</v>
      </c>
      <c r="M261" s="9">
        <v>12.063700000000001</v>
      </c>
      <c r="N261" s="9">
        <v>4.9444999999999997</v>
      </c>
      <c r="O261" s="9">
        <v>0.37409999999999999</v>
      </c>
      <c r="P261" s="9">
        <v>1.2183999999999999</v>
      </c>
      <c r="Q261" s="9">
        <v>30.645399999999999</v>
      </c>
      <c r="R261" s="9"/>
      <c r="S261" s="11"/>
    </row>
    <row r="262" spans="1:19" ht="15.75">
      <c r="A262" s="14">
        <v>49461</v>
      </c>
      <c r="B262" s="8">
        <f>CHOOSE( CONTROL!$C$32, 8.6059, 8.6004) * CHOOSE(CONTROL!$C$15, $D$11, 100%, $F$11)</f>
        <v>8.6059000000000001</v>
      </c>
      <c r="C262" s="8">
        <f>CHOOSE( CONTROL!$C$32, 8.614, 8.6085) * CHOOSE(CONTROL!$C$15, $D$11, 100%, $F$11)</f>
        <v>8.6140000000000008</v>
      </c>
      <c r="D262" s="8">
        <f>CHOOSE( CONTROL!$C$32, 8.6402, 8.6346) * CHOOSE( CONTROL!$C$15, $D$11, 100%, $F$11)</f>
        <v>8.6402000000000001</v>
      </c>
      <c r="E262" s="12">
        <f>CHOOSE( CONTROL!$C$32, 8.6295, 8.6239) * CHOOSE( CONTROL!$C$15, $D$11, 100%, $F$11)</f>
        <v>8.6295000000000002</v>
      </c>
      <c r="F262" s="4">
        <f>CHOOSE( CONTROL!$C$32, 9.3183, 9.3128) * CHOOSE(CONTROL!$C$15, $D$11, 100%, $F$11)</f>
        <v>9.3183000000000007</v>
      </c>
      <c r="G262" s="8">
        <f>CHOOSE( CONTROL!$C$32, 8.3914, 8.386) * CHOOSE( CONTROL!$C$15, $D$11, 100%, $F$11)</f>
        <v>8.3914000000000009</v>
      </c>
      <c r="H262" s="4">
        <f>CHOOSE( CONTROL!$C$32, 9.336, 9.3306) * CHOOSE(CONTROL!$C$15, $D$11, 100%, $F$11)</f>
        <v>9.3360000000000003</v>
      </c>
      <c r="I262" s="8">
        <f>CHOOSE( CONTROL!$C$32, 8.3505, 8.3452) * CHOOSE(CONTROL!$C$15, $D$11, 100%, $F$11)</f>
        <v>8.3505000000000003</v>
      </c>
      <c r="J262" s="4">
        <f>CHOOSE( CONTROL!$C$32, 8.2333, 8.228) * CHOOSE(CONTROL!$C$15, $D$11, 100%, $F$11)</f>
        <v>8.2332999999999998</v>
      </c>
      <c r="K262" s="4"/>
      <c r="L262" s="9">
        <v>29.7257</v>
      </c>
      <c r="M262" s="9">
        <v>11.6745</v>
      </c>
      <c r="N262" s="9">
        <v>4.7850000000000001</v>
      </c>
      <c r="O262" s="9">
        <v>0.36199999999999999</v>
      </c>
      <c r="P262" s="9">
        <v>1.1791</v>
      </c>
      <c r="Q262" s="9">
        <v>29.6568</v>
      </c>
      <c r="R262" s="9"/>
      <c r="S262" s="11"/>
    </row>
    <row r="263" spans="1:19" ht="15.75">
      <c r="A263" s="14">
        <v>49491</v>
      </c>
      <c r="B263" s="8">
        <f>CHOOSE( CONTROL!$C$32, 8.9747, 8.9691) * CHOOSE(CONTROL!$C$15, $D$11, 100%, $F$11)</f>
        <v>8.9747000000000003</v>
      </c>
      <c r="C263" s="8">
        <f>CHOOSE( CONTROL!$C$32, 8.9828, 8.9772) * CHOOSE(CONTROL!$C$15, $D$11, 100%, $F$11)</f>
        <v>8.9827999999999992</v>
      </c>
      <c r="D263" s="8">
        <f>CHOOSE( CONTROL!$C$32, 9.0091, 9.0036) * CHOOSE( CONTROL!$C$15, $D$11, 100%, $F$11)</f>
        <v>9.0091000000000001</v>
      </c>
      <c r="E263" s="12">
        <f>CHOOSE( CONTROL!$C$32, 8.9983, 8.9928) * CHOOSE( CONTROL!$C$15, $D$11, 100%, $F$11)</f>
        <v>8.9983000000000004</v>
      </c>
      <c r="F263" s="4">
        <f>CHOOSE( CONTROL!$C$32, 9.6871, 9.6815) * CHOOSE(CONTROL!$C$15, $D$11, 100%, $F$11)</f>
        <v>9.6870999999999992</v>
      </c>
      <c r="G263" s="8">
        <f>CHOOSE( CONTROL!$C$32, 8.7519, 8.7464) * CHOOSE( CONTROL!$C$15, $D$11, 100%, $F$11)</f>
        <v>8.7518999999999991</v>
      </c>
      <c r="H263" s="4">
        <f>CHOOSE( CONTROL!$C$32, 9.6962, 9.6908) * CHOOSE(CONTROL!$C$15, $D$11, 100%, $F$11)</f>
        <v>9.6961999999999993</v>
      </c>
      <c r="I263" s="8">
        <f>CHOOSE( CONTROL!$C$32, 8.7057, 8.7004) * CHOOSE(CONTROL!$C$15, $D$11, 100%, $F$11)</f>
        <v>8.7057000000000002</v>
      </c>
      <c r="J263" s="4">
        <f>CHOOSE( CONTROL!$C$32, 8.5874, 8.582) * CHOOSE(CONTROL!$C$15, $D$11, 100%, $F$11)</f>
        <v>8.5874000000000006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1.2183999999999999</v>
      </c>
      <c r="Q263" s="9">
        <v>30.645399999999999</v>
      </c>
      <c r="R263" s="9"/>
      <c r="S263" s="11"/>
    </row>
    <row r="264" spans="1:19" ht="15.75">
      <c r="A264" s="14">
        <v>49522</v>
      </c>
      <c r="B264" s="8">
        <f>CHOOSE( CONTROL!$C$32, 8.2847, 8.2791) * CHOOSE(CONTROL!$C$15, $D$11, 100%, $F$11)</f>
        <v>8.2847000000000008</v>
      </c>
      <c r="C264" s="8">
        <f>CHOOSE( CONTROL!$C$32, 8.2928, 8.2872) * CHOOSE(CONTROL!$C$15, $D$11, 100%, $F$11)</f>
        <v>8.2927999999999997</v>
      </c>
      <c r="D264" s="8">
        <f>CHOOSE( CONTROL!$C$32, 8.3192, 8.3136) * CHOOSE( CONTROL!$C$15, $D$11, 100%, $F$11)</f>
        <v>8.3192000000000004</v>
      </c>
      <c r="E264" s="12">
        <f>CHOOSE( CONTROL!$C$32, 8.3084, 8.3028) * CHOOSE( CONTROL!$C$15, $D$11, 100%, $F$11)</f>
        <v>8.3084000000000007</v>
      </c>
      <c r="F264" s="4">
        <f>CHOOSE( CONTROL!$C$32, 8.9971, 8.9915) * CHOOSE(CONTROL!$C$15, $D$11, 100%, $F$11)</f>
        <v>8.9970999999999997</v>
      </c>
      <c r="G264" s="8">
        <f>CHOOSE( CONTROL!$C$32, 8.078, 8.0726) * CHOOSE( CONTROL!$C$15, $D$11, 100%, $F$11)</f>
        <v>8.0779999999999994</v>
      </c>
      <c r="H264" s="4">
        <f>CHOOSE( CONTROL!$C$32, 9.0223, 9.0168) * CHOOSE(CONTROL!$C$15, $D$11, 100%, $F$11)</f>
        <v>9.0222999999999995</v>
      </c>
      <c r="I264" s="8">
        <f>CHOOSE( CONTROL!$C$32, 8.0432, 8.0379) * CHOOSE(CONTROL!$C$15, $D$11, 100%, $F$11)</f>
        <v>8.0432000000000006</v>
      </c>
      <c r="J264" s="4">
        <f>CHOOSE( CONTROL!$C$32, 7.9249, 7.9196) * CHOOSE(CONTROL!$C$15, $D$11, 100%, $F$11)</f>
        <v>7.9249000000000001</v>
      </c>
      <c r="K264" s="4"/>
      <c r="L264" s="9">
        <v>30.7165</v>
      </c>
      <c r="M264" s="9">
        <v>12.063700000000001</v>
      </c>
      <c r="N264" s="9">
        <v>4.9444999999999997</v>
      </c>
      <c r="O264" s="9">
        <v>0.37409999999999999</v>
      </c>
      <c r="P264" s="9">
        <v>1.2183999999999999</v>
      </c>
      <c r="Q264" s="9">
        <v>30.645399999999999</v>
      </c>
      <c r="R264" s="9"/>
      <c r="S264" s="11"/>
    </row>
    <row r="265" spans="1:19" ht="15.75">
      <c r="A265" s="14">
        <v>49553</v>
      </c>
      <c r="B265" s="8">
        <f>CHOOSE( CONTROL!$C$32, 8.1119, 8.1064) * CHOOSE(CONTROL!$C$15, $D$11, 100%, $F$11)</f>
        <v>8.1119000000000003</v>
      </c>
      <c r="C265" s="8">
        <f>CHOOSE( CONTROL!$C$32, 8.12, 8.1144) * CHOOSE(CONTROL!$C$15, $D$11, 100%, $F$11)</f>
        <v>8.1199999999999992</v>
      </c>
      <c r="D265" s="8">
        <f>CHOOSE( CONTROL!$C$32, 8.1464, 8.1408) * CHOOSE( CONTROL!$C$15, $D$11, 100%, $F$11)</f>
        <v>8.1463999999999999</v>
      </c>
      <c r="E265" s="12">
        <f>CHOOSE( CONTROL!$C$32, 8.1356, 8.13) * CHOOSE( CONTROL!$C$15, $D$11, 100%, $F$11)</f>
        <v>8.1356000000000002</v>
      </c>
      <c r="F265" s="4">
        <f>CHOOSE( CONTROL!$C$32, 8.8243, 8.8187) * CHOOSE(CONTROL!$C$15, $D$11, 100%, $F$11)</f>
        <v>8.8242999999999991</v>
      </c>
      <c r="G265" s="8">
        <f>CHOOSE( CONTROL!$C$32, 7.9092, 7.9038) * CHOOSE( CONTROL!$C$15, $D$11, 100%, $F$11)</f>
        <v>7.9092000000000002</v>
      </c>
      <c r="H265" s="4">
        <f>CHOOSE( CONTROL!$C$32, 8.8535, 8.8481) * CHOOSE(CONTROL!$C$15, $D$11, 100%, $F$11)</f>
        <v>8.8535000000000004</v>
      </c>
      <c r="I265" s="8">
        <f>CHOOSE( CONTROL!$C$32, 7.877, 7.8716) * CHOOSE(CONTROL!$C$15, $D$11, 100%, $F$11)</f>
        <v>7.8769999999999998</v>
      </c>
      <c r="J265" s="4">
        <f>CHOOSE( CONTROL!$C$32, 7.759, 7.7537) * CHOOSE(CONTROL!$C$15, $D$11, 100%, $F$11)</f>
        <v>7.7590000000000003</v>
      </c>
      <c r="K265" s="4"/>
      <c r="L265" s="9">
        <v>29.7257</v>
      </c>
      <c r="M265" s="9">
        <v>11.6745</v>
      </c>
      <c r="N265" s="9">
        <v>4.7850000000000001</v>
      </c>
      <c r="O265" s="9">
        <v>0.36199999999999999</v>
      </c>
      <c r="P265" s="9">
        <v>1.1791</v>
      </c>
      <c r="Q265" s="9">
        <v>29.6568</v>
      </c>
      <c r="R265" s="9"/>
      <c r="S265" s="11"/>
    </row>
    <row r="266" spans="1:19" ht="15.75">
      <c r="A266" s="14">
        <v>49583</v>
      </c>
      <c r="B266" s="8">
        <f>8.4634 * CHOOSE(CONTROL!$C$15, $D$11, 100%, $F$11)</f>
        <v>8.4634</v>
      </c>
      <c r="C266" s="8">
        <f>8.4688 * CHOOSE(CONTROL!$C$15, $D$11, 100%, $F$11)</f>
        <v>8.4687999999999999</v>
      </c>
      <c r="D266" s="8">
        <f>8.5 * CHOOSE( CONTROL!$C$15, $D$11, 100%, $F$11)</f>
        <v>8.5</v>
      </c>
      <c r="E266" s="12">
        <f>8.4891 * CHOOSE( CONTROL!$C$15, $D$11, 100%, $F$11)</f>
        <v>8.4891000000000005</v>
      </c>
      <c r="F266" s="4">
        <f>9.1775 * CHOOSE(CONTROL!$C$15, $D$11, 100%, $F$11)</f>
        <v>9.1775000000000002</v>
      </c>
      <c r="G266" s="8">
        <f>8.2533 * CHOOSE( CONTROL!$C$15, $D$11, 100%, $F$11)</f>
        <v>8.2532999999999994</v>
      </c>
      <c r="H266" s="4">
        <f>9.1985 * CHOOSE(CONTROL!$C$15, $D$11, 100%, $F$11)</f>
        <v>9.1984999999999992</v>
      </c>
      <c r="I266" s="8">
        <f>8.2171 * CHOOSE(CONTROL!$C$15, $D$11, 100%, $F$11)</f>
        <v>8.2171000000000003</v>
      </c>
      <c r="J266" s="4">
        <f>8.0981 * CHOOSE(CONTROL!$C$15, $D$11, 100%, $F$11)</f>
        <v>8.0981000000000005</v>
      </c>
      <c r="K266" s="4"/>
      <c r="L266" s="9">
        <v>31.095300000000002</v>
      </c>
      <c r="M266" s="9">
        <v>12.063700000000001</v>
      </c>
      <c r="N266" s="9">
        <v>4.9444999999999997</v>
      </c>
      <c r="O266" s="9">
        <v>0.37409999999999999</v>
      </c>
      <c r="P266" s="9">
        <v>1.2183999999999999</v>
      </c>
      <c r="Q266" s="9">
        <v>30.645399999999999</v>
      </c>
      <c r="R266" s="9"/>
      <c r="S266" s="11"/>
    </row>
    <row r="267" spans="1:19" ht="15.75">
      <c r="A267" s="14">
        <v>49614</v>
      </c>
      <c r="B267" s="8">
        <f>9.1252 * CHOOSE(CONTROL!$C$15, $D$11, 100%, $F$11)</f>
        <v>9.1251999999999995</v>
      </c>
      <c r="C267" s="8">
        <f>9.1304 * CHOOSE(CONTROL!$C$15, $D$11, 100%, $F$11)</f>
        <v>9.1303999999999998</v>
      </c>
      <c r="D267" s="8">
        <f>9.1166 * CHOOSE( CONTROL!$C$15, $D$11, 100%, $F$11)</f>
        <v>9.1166</v>
      </c>
      <c r="E267" s="12">
        <f>9.1211 * CHOOSE( CONTROL!$C$15, $D$11, 100%, $F$11)</f>
        <v>9.1211000000000002</v>
      </c>
      <c r="F267" s="4">
        <f>9.7756 * CHOOSE(CONTROL!$C$15, $D$11, 100%, $F$11)</f>
        <v>9.7756000000000007</v>
      </c>
      <c r="G267" s="8">
        <f>8.9077 * CHOOSE( CONTROL!$C$15, $D$11, 100%, $F$11)</f>
        <v>8.9077000000000002</v>
      </c>
      <c r="H267" s="4">
        <f>9.7827 * CHOOSE(CONTROL!$C$15, $D$11, 100%, $F$11)</f>
        <v>9.7827000000000002</v>
      </c>
      <c r="I267" s="8">
        <f>8.8968 * CHOOSE(CONTROL!$C$15, $D$11, 100%, $F$11)</f>
        <v>8.8968000000000007</v>
      </c>
      <c r="J267" s="4">
        <f>8.7339 * CHOOSE(CONTROL!$C$15, $D$11, 100%, $F$11)</f>
        <v>8.7339000000000002</v>
      </c>
      <c r="K267" s="4"/>
      <c r="L267" s="9">
        <v>28.360600000000002</v>
      </c>
      <c r="M267" s="9">
        <v>11.6745</v>
      </c>
      <c r="N267" s="9">
        <v>4.7850000000000001</v>
      </c>
      <c r="O267" s="9">
        <v>0.36199999999999999</v>
      </c>
      <c r="P267" s="9">
        <v>1.2509999999999999</v>
      </c>
      <c r="Q267" s="9">
        <v>29.6568</v>
      </c>
      <c r="R267" s="9"/>
      <c r="S267" s="11"/>
    </row>
    <row r="268" spans="1:19" ht="15.75">
      <c r="A268" s="14">
        <v>49644</v>
      </c>
      <c r="B268" s="8">
        <f>9.1086 * CHOOSE(CONTROL!$C$15, $D$11, 100%, $F$11)</f>
        <v>9.1085999999999991</v>
      </c>
      <c r="C268" s="8">
        <f>9.1138 * CHOOSE(CONTROL!$C$15, $D$11, 100%, $F$11)</f>
        <v>9.1137999999999995</v>
      </c>
      <c r="D268" s="8">
        <f>9.1015 * CHOOSE( CONTROL!$C$15, $D$11, 100%, $F$11)</f>
        <v>9.1014999999999997</v>
      </c>
      <c r="E268" s="12">
        <f>9.1054 * CHOOSE( CONTROL!$C$15, $D$11, 100%, $F$11)</f>
        <v>9.1053999999999995</v>
      </c>
      <c r="F268" s="4">
        <f>9.7591 * CHOOSE(CONTROL!$C$15, $D$11, 100%, $F$11)</f>
        <v>9.7591000000000001</v>
      </c>
      <c r="G268" s="8">
        <f>8.8926 * CHOOSE( CONTROL!$C$15, $D$11, 100%, $F$11)</f>
        <v>8.8925999999999998</v>
      </c>
      <c r="H268" s="4">
        <f>9.7665 * CHOOSE(CONTROL!$C$15, $D$11, 100%, $F$11)</f>
        <v>9.7665000000000006</v>
      </c>
      <c r="I268" s="8">
        <f>8.8857 * CHOOSE(CONTROL!$C$15, $D$11, 100%, $F$11)</f>
        <v>8.8856999999999999</v>
      </c>
      <c r="J268" s="4">
        <f>8.718 * CHOOSE(CONTROL!$C$15, $D$11, 100%, $F$11)</f>
        <v>8.718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30.645399999999999</v>
      </c>
      <c r="R268" s="9"/>
      <c r="S268" s="11"/>
    </row>
    <row r="269" spans="1:19" ht="15.75">
      <c r="A269" s="14">
        <v>49675</v>
      </c>
      <c r="B269" s="8">
        <f>9.4557 * CHOOSE(CONTROL!$C$15, $D$11, 100%, $F$11)</f>
        <v>9.4557000000000002</v>
      </c>
      <c r="C269" s="8">
        <f>9.4609 * CHOOSE(CONTROL!$C$15, $D$11, 100%, $F$11)</f>
        <v>9.4609000000000005</v>
      </c>
      <c r="D269" s="8">
        <f>9.4433 * CHOOSE( CONTROL!$C$15, $D$11, 100%, $F$11)</f>
        <v>9.4433000000000007</v>
      </c>
      <c r="E269" s="12">
        <f>9.4492 * CHOOSE( CONTROL!$C$15, $D$11, 100%, $F$11)</f>
        <v>9.4491999999999994</v>
      </c>
      <c r="F269" s="4">
        <f>10.1061 * CHOOSE(CONTROL!$C$15, $D$11, 100%, $F$11)</f>
        <v>10.1061</v>
      </c>
      <c r="G269" s="8">
        <f>9.2215 * CHOOSE( CONTROL!$C$15, $D$11, 100%, $F$11)</f>
        <v>9.2215000000000007</v>
      </c>
      <c r="H269" s="4">
        <f>10.1055 * CHOOSE(CONTROL!$C$15, $D$11, 100%, $F$11)</f>
        <v>10.105499999999999</v>
      </c>
      <c r="I269" s="8">
        <f>9.1789 * CHOOSE(CONTROL!$C$15, $D$11, 100%, $F$11)</f>
        <v>9.1789000000000005</v>
      </c>
      <c r="J269" s="4">
        <f>9.0512 * CHOOSE(CONTROL!$C$15, $D$11, 100%, $F$11)</f>
        <v>9.0511999999999997</v>
      </c>
      <c r="K269" s="4"/>
      <c r="L269" s="9">
        <v>29.306000000000001</v>
      </c>
      <c r="M269" s="9">
        <v>12.063700000000001</v>
      </c>
      <c r="N269" s="9">
        <v>4.9444999999999997</v>
      </c>
      <c r="O269" s="9">
        <v>0.37409999999999999</v>
      </c>
      <c r="P269" s="9">
        <v>1.2927</v>
      </c>
      <c r="Q269" s="9">
        <v>30.580300000000001</v>
      </c>
      <c r="R269" s="9"/>
      <c r="S269" s="11"/>
    </row>
    <row r="270" spans="1:19" ht="15.75">
      <c r="A270" s="14">
        <v>49706</v>
      </c>
      <c r="B270" s="8">
        <f>8.8462 * CHOOSE(CONTROL!$C$15, $D$11, 100%, $F$11)</f>
        <v>8.8461999999999996</v>
      </c>
      <c r="C270" s="8">
        <f>8.8514 * CHOOSE(CONTROL!$C$15, $D$11, 100%, $F$11)</f>
        <v>8.8513999999999999</v>
      </c>
      <c r="D270" s="8">
        <f>8.8338 * CHOOSE( CONTROL!$C$15, $D$11, 100%, $F$11)</f>
        <v>8.8338000000000001</v>
      </c>
      <c r="E270" s="12">
        <f>8.8397 * CHOOSE( CONTROL!$C$15, $D$11, 100%, $F$11)</f>
        <v>8.8397000000000006</v>
      </c>
      <c r="F270" s="4">
        <f>9.4967 * CHOOSE(CONTROL!$C$15, $D$11, 100%, $F$11)</f>
        <v>9.4967000000000006</v>
      </c>
      <c r="G270" s="8">
        <f>8.6262 * CHOOSE( CONTROL!$C$15, $D$11, 100%, $F$11)</f>
        <v>8.6262000000000008</v>
      </c>
      <c r="H270" s="4">
        <f>9.5102 * CHOOSE(CONTROL!$C$15, $D$11, 100%, $F$11)</f>
        <v>9.5101999999999993</v>
      </c>
      <c r="I270" s="8">
        <f>8.5933 * CHOOSE(CONTROL!$C$15, $D$11, 100%, $F$11)</f>
        <v>8.5932999999999993</v>
      </c>
      <c r="J270" s="4">
        <f>8.4661 * CHOOSE(CONTROL!$C$15, $D$11, 100%, $F$11)</f>
        <v>8.4661000000000008</v>
      </c>
      <c r="K270" s="4"/>
      <c r="L270" s="9">
        <v>27.415299999999998</v>
      </c>
      <c r="M270" s="9">
        <v>11.285299999999999</v>
      </c>
      <c r="N270" s="9">
        <v>4.6254999999999997</v>
      </c>
      <c r="O270" s="9">
        <v>0.34989999999999999</v>
      </c>
      <c r="P270" s="9">
        <v>1.2093</v>
      </c>
      <c r="Q270" s="9">
        <v>28.607299999999999</v>
      </c>
      <c r="R270" s="9"/>
      <c r="S270" s="11"/>
    </row>
    <row r="271" spans="1:19" ht="15.75">
      <c r="A271" s="14">
        <v>49735</v>
      </c>
      <c r="B271" s="8">
        <f>8.6585 * CHOOSE(CONTROL!$C$15, $D$11, 100%, $F$11)</f>
        <v>8.6585000000000001</v>
      </c>
      <c r="C271" s="8">
        <f>8.6637 * CHOOSE(CONTROL!$C$15, $D$11, 100%, $F$11)</f>
        <v>8.6637000000000004</v>
      </c>
      <c r="D271" s="8">
        <f>8.6457 * CHOOSE( CONTROL!$C$15, $D$11, 100%, $F$11)</f>
        <v>8.6456999999999997</v>
      </c>
      <c r="E271" s="12">
        <f>8.6517 * CHOOSE( CONTROL!$C$15, $D$11, 100%, $F$11)</f>
        <v>8.6516999999999999</v>
      </c>
      <c r="F271" s="4">
        <f>9.309 * CHOOSE(CONTROL!$C$15, $D$11, 100%, $F$11)</f>
        <v>9.3089999999999993</v>
      </c>
      <c r="G271" s="8">
        <f>8.4426 * CHOOSE( CONTROL!$C$15, $D$11, 100%, $F$11)</f>
        <v>8.4426000000000005</v>
      </c>
      <c r="H271" s="4">
        <f>9.3269 * CHOOSE(CONTROL!$C$15, $D$11, 100%, $F$11)</f>
        <v>9.3269000000000002</v>
      </c>
      <c r="I271" s="8">
        <f>8.4118 * CHOOSE(CONTROL!$C$15, $D$11, 100%, $F$11)</f>
        <v>8.4117999999999995</v>
      </c>
      <c r="J271" s="4">
        <f>8.2859 * CHOOSE(CONTROL!$C$15, $D$11, 100%, $F$11)</f>
        <v>8.2858999999999998</v>
      </c>
      <c r="K271" s="4"/>
      <c r="L271" s="9">
        <v>29.306000000000001</v>
      </c>
      <c r="M271" s="9">
        <v>12.063700000000001</v>
      </c>
      <c r="N271" s="9">
        <v>4.9444999999999997</v>
      </c>
      <c r="O271" s="9">
        <v>0.37409999999999999</v>
      </c>
      <c r="P271" s="9">
        <v>1.2927</v>
      </c>
      <c r="Q271" s="9">
        <v>30.580300000000001</v>
      </c>
      <c r="R271" s="9"/>
      <c r="S271" s="11"/>
    </row>
    <row r="272" spans="1:19" ht="15.75">
      <c r="A272" s="14">
        <v>49766</v>
      </c>
      <c r="B272" s="8">
        <f>8.7904 * CHOOSE(CONTROL!$C$15, $D$11, 100%, $F$11)</f>
        <v>8.7904</v>
      </c>
      <c r="C272" s="8">
        <f>8.7951 * CHOOSE(CONTROL!$C$15, $D$11, 100%, $F$11)</f>
        <v>8.7950999999999997</v>
      </c>
      <c r="D272" s="8">
        <f>8.8262 * CHOOSE( CONTROL!$C$15, $D$11, 100%, $F$11)</f>
        <v>8.8262</v>
      </c>
      <c r="E272" s="12">
        <f>8.8154 * CHOOSE( CONTROL!$C$15, $D$11, 100%, $F$11)</f>
        <v>8.8154000000000003</v>
      </c>
      <c r="F272" s="4">
        <f>9.5042 * CHOOSE(CONTROL!$C$15, $D$11, 100%, $F$11)</f>
        <v>9.5042000000000009</v>
      </c>
      <c r="G272" s="8">
        <f>8.5716 * CHOOSE( CONTROL!$C$15, $D$11, 100%, $F$11)</f>
        <v>8.5716000000000001</v>
      </c>
      <c r="H272" s="4">
        <f>9.5175 * CHOOSE(CONTROL!$C$15, $D$11, 100%, $F$11)</f>
        <v>9.5175000000000001</v>
      </c>
      <c r="I272" s="8">
        <f>8.5283 * CHOOSE(CONTROL!$C$15, $D$11, 100%, $F$11)</f>
        <v>8.5282999999999998</v>
      </c>
      <c r="J272" s="4">
        <f>8.4118 * CHOOSE(CONTROL!$C$15, $D$11, 100%, $F$11)</f>
        <v>8.4117999999999995</v>
      </c>
      <c r="K272" s="4"/>
      <c r="L272" s="9">
        <v>30.092199999999998</v>
      </c>
      <c r="M272" s="9">
        <v>11.6745</v>
      </c>
      <c r="N272" s="9">
        <v>4.7850000000000001</v>
      </c>
      <c r="O272" s="9">
        <v>0.36199999999999999</v>
      </c>
      <c r="P272" s="9">
        <v>1.1791</v>
      </c>
      <c r="Q272" s="9">
        <v>29.593800000000002</v>
      </c>
      <c r="R272" s="9"/>
      <c r="S272" s="11"/>
    </row>
    <row r="273" spans="1:19" ht="15.75">
      <c r="A273" s="14">
        <v>49796</v>
      </c>
      <c r="B273" s="8">
        <f>CHOOSE( CONTROL!$C$32, 9.0308, 9.0253) * CHOOSE(CONTROL!$C$15, $D$11, 100%, $F$11)</f>
        <v>9.0307999999999993</v>
      </c>
      <c r="C273" s="8">
        <f>CHOOSE( CONTROL!$C$32, 9.0389, 9.0333) * CHOOSE(CONTROL!$C$15, $D$11, 100%, $F$11)</f>
        <v>9.0388999999999999</v>
      </c>
      <c r="D273" s="8">
        <f>CHOOSE( CONTROL!$C$32, 9.0649, 9.0593) * CHOOSE( CONTROL!$C$15, $D$11, 100%, $F$11)</f>
        <v>9.0648999999999997</v>
      </c>
      <c r="E273" s="12">
        <f>CHOOSE( CONTROL!$C$32, 9.0542, 9.0487) * CHOOSE( CONTROL!$C$15, $D$11, 100%, $F$11)</f>
        <v>9.0541999999999998</v>
      </c>
      <c r="F273" s="4">
        <f>CHOOSE( CONTROL!$C$32, 9.7432, 9.7376) * CHOOSE(CONTROL!$C$15, $D$11, 100%, $F$11)</f>
        <v>9.7431999999999999</v>
      </c>
      <c r="G273" s="8">
        <f>CHOOSE( CONTROL!$C$32, 8.8061, 8.8007) * CHOOSE( CONTROL!$C$15, $D$11, 100%, $F$11)</f>
        <v>8.8061000000000007</v>
      </c>
      <c r="H273" s="4">
        <f>CHOOSE( CONTROL!$C$32, 9.751, 9.7456) * CHOOSE(CONTROL!$C$15, $D$11, 100%, $F$11)</f>
        <v>9.7509999999999994</v>
      </c>
      <c r="I273" s="8">
        <f>CHOOSE( CONTROL!$C$32, 8.7579, 8.7525) * CHOOSE(CONTROL!$C$15, $D$11, 100%, $F$11)</f>
        <v>8.7578999999999994</v>
      </c>
      <c r="J273" s="4">
        <f>CHOOSE( CONTROL!$C$32, 8.6413, 8.6359) * CHOOSE(CONTROL!$C$15, $D$11, 100%, $F$11)</f>
        <v>8.6412999999999993</v>
      </c>
      <c r="K273" s="4"/>
      <c r="L273" s="9">
        <v>30.7165</v>
      </c>
      <c r="M273" s="9">
        <v>12.063700000000001</v>
      </c>
      <c r="N273" s="9">
        <v>4.9444999999999997</v>
      </c>
      <c r="O273" s="9">
        <v>0.37409999999999999</v>
      </c>
      <c r="P273" s="9">
        <v>1.2183999999999999</v>
      </c>
      <c r="Q273" s="9">
        <v>30.580300000000001</v>
      </c>
      <c r="R273" s="9"/>
      <c r="S273" s="11"/>
    </row>
    <row r="274" spans="1:19" ht="15.75">
      <c r="A274" s="14">
        <v>49827</v>
      </c>
      <c r="B274" s="8">
        <f>CHOOSE( CONTROL!$C$32, 8.8862, 8.8806) * CHOOSE(CONTROL!$C$15, $D$11, 100%, $F$11)</f>
        <v>8.8862000000000005</v>
      </c>
      <c r="C274" s="8">
        <f>CHOOSE( CONTROL!$C$32, 8.8943, 8.8887) * CHOOSE(CONTROL!$C$15, $D$11, 100%, $F$11)</f>
        <v>8.8942999999999994</v>
      </c>
      <c r="D274" s="8">
        <f>CHOOSE( CONTROL!$C$32, 8.9204, 8.9149) * CHOOSE( CONTROL!$C$15, $D$11, 100%, $F$11)</f>
        <v>8.9204000000000008</v>
      </c>
      <c r="E274" s="12">
        <f>CHOOSE( CONTROL!$C$32, 8.9097, 8.9042) * CHOOSE( CONTROL!$C$15, $D$11, 100%, $F$11)</f>
        <v>8.9097000000000008</v>
      </c>
      <c r="F274" s="4">
        <f>CHOOSE( CONTROL!$C$32, 9.5986, 9.593) * CHOOSE(CONTROL!$C$15, $D$11, 100%, $F$11)</f>
        <v>9.5985999999999994</v>
      </c>
      <c r="G274" s="8">
        <f>CHOOSE( CONTROL!$C$32, 8.6651, 8.6597) * CHOOSE( CONTROL!$C$15, $D$11, 100%, $F$11)</f>
        <v>8.6651000000000007</v>
      </c>
      <c r="H274" s="4">
        <f>CHOOSE( CONTROL!$C$32, 9.6098, 9.6043) * CHOOSE(CONTROL!$C$15, $D$11, 100%, $F$11)</f>
        <v>9.6097999999999999</v>
      </c>
      <c r="I274" s="8">
        <f>CHOOSE( CONTROL!$C$32, 8.6198, 8.6144) * CHOOSE(CONTROL!$C$15, $D$11, 100%, $F$11)</f>
        <v>8.6197999999999997</v>
      </c>
      <c r="J274" s="4">
        <f>CHOOSE( CONTROL!$C$32, 8.5024, 8.4971) * CHOOSE(CONTROL!$C$15, $D$11, 100%, $F$11)</f>
        <v>8.5023999999999997</v>
      </c>
      <c r="K274" s="4"/>
      <c r="L274" s="9">
        <v>29.7257</v>
      </c>
      <c r="M274" s="9">
        <v>11.6745</v>
      </c>
      <c r="N274" s="9">
        <v>4.7850000000000001</v>
      </c>
      <c r="O274" s="9">
        <v>0.36199999999999999</v>
      </c>
      <c r="P274" s="9">
        <v>1.1791</v>
      </c>
      <c r="Q274" s="9">
        <v>29.593800000000002</v>
      </c>
      <c r="R274" s="9"/>
      <c r="S274" s="11"/>
    </row>
    <row r="275" spans="1:19" ht="15.75">
      <c r="A275" s="14">
        <v>49857</v>
      </c>
      <c r="B275" s="8">
        <f>CHOOSE( CONTROL!$C$32, 9.267, 9.2615) * CHOOSE(CONTROL!$C$15, $D$11, 100%, $F$11)</f>
        <v>9.2669999999999995</v>
      </c>
      <c r="C275" s="8">
        <f>CHOOSE( CONTROL!$C$32, 9.2751, 9.2696) * CHOOSE(CONTROL!$C$15, $D$11, 100%, $F$11)</f>
        <v>9.2751000000000001</v>
      </c>
      <c r="D275" s="8">
        <f>CHOOSE( CONTROL!$C$32, 9.3015, 9.2959) * CHOOSE( CONTROL!$C$15, $D$11, 100%, $F$11)</f>
        <v>9.3015000000000008</v>
      </c>
      <c r="E275" s="12">
        <f>CHOOSE( CONTROL!$C$32, 9.2907, 9.2851) * CHOOSE( CONTROL!$C$15, $D$11, 100%, $F$11)</f>
        <v>9.2906999999999993</v>
      </c>
      <c r="F275" s="4">
        <f>CHOOSE( CONTROL!$C$32, 9.9794, 9.9739) * CHOOSE(CONTROL!$C$15, $D$11, 100%, $F$11)</f>
        <v>9.9794</v>
      </c>
      <c r="G275" s="8">
        <f>CHOOSE( CONTROL!$C$32, 9.0374, 9.032) * CHOOSE( CONTROL!$C$15, $D$11, 100%, $F$11)</f>
        <v>9.0373999999999999</v>
      </c>
      <c r="H275" s="4">
        <f>CHOOSE( CONTROL!$C$32, 9.9817, 9.9763) * CHOOSE(CONTROL!$C$15, $D$11, 100%, $F$11)</f>
        <v>9.9817</v>
      </c>
      <c r="I275" s="8">
        <f>CHOOSE( CONTROL!$C$32, 8.9865, 8.9812) * CHOOSE(CONTROL!$C$15, $D$11, 100%, $F$11)</f>
        <v>8.9864999999999995</v>
      </c>
      <c r="J275" s="4">
        <f>CHOOSE( CONTROL!$C$32, 8.8681, 8.8627) * CHOOSE(CONTROL!$C$15, $D$11, 100%, $F$11)</f>
        <v>8.8681000000000001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1.2183999999999999</v>
      </c>
      <c r="Q275" s="9">
        <v>30.580300000000001</v>
      </c>
      <c r="R275" s="9"/>
      <c r="S275" s="11"/>
    </row>
    <row r="276" spans="1:19" ht="15.75">
      <c r="A276" s="14">
        <v>49888</v>
      </c>
      <c r="B276" s="8">
        <f>CHOOSE( CONTROL!$C$32, 8.5545, 8.5489) * CHOOSE(CONTROL!$C$15, $D$11, 100%, $F$11)</f>
        <v>8.5545000000000009</v>
      </c>
      <c r="C276" s="8">
        <f>CHOOSE( CONTROL!$C$32, 8.5626, 8.557) * CHOOSE(CONTROL!$C$15, $D$11, 100%, $F$11)</f>
        <v>8.5625999999999998</v>
      </c>
      <c r="D276" s="8">
        <f>CHOOSE( CONTROL!$C$32, 8.589, 8.5834) * CHOOSE( CONTROL!$C$15, $D$11, 100%, $F$11)</f>
        <v>8.5890000000000004</v>
      </c>
      <c r="E276" s="12">
        <f>CHOOSE( CONTROL!$C$32, 8.5782, 8.5726) * CHOOSE( CONTROL!$C$15, $D$11, 100%, $F$11)</f>
        <v>8.5782000000000007</v>
      </c>
      <c r="F276" s="4">
        <f>CHOOSE( CONTROL!$C$32, 9.2669, 9.2613) * CHOOSE(CONTROL!$C$15, $D$11, 100%, $F$11)</f>
        <v>9.2668999999999997</v>
      </c>
      <c r="G276" s="8">
        <f>CHOOSE( CONTROL!$C$32, 8.3415, 8.3361) * CHOOSE( CONTROL!$C$15, $D$11, 100%, $F$11)</f>
        <v>8.3414999999999999</v>
      </c>
      <c r="H276" s="4">
        <f>CHOOSE( CONTROL!$C$32, 9.2857, 9.2803) * CHOOSE(CONTROL!$C$15, $D$11, 100%, $F$11)</f>
        <v>9.2857000000000003</v>
      </c>
      <c r="I276" s="8">
        <f>CHOOSE( CONTROL!$C$32, 8.3023, 8.297) * CHOOSE(CONTROL!$C$15, $D$11, 100%, $F$11)</f>
        <v>8.3023000000000007</v>
      </c>
      <c r="J276" s="4">
        <f>CHOOSE( CONTROL!$C$32, 8.1839, 8.1786) * CHOOSE(CONTROL!$C$15, $D$11, 100%, $F$11)</f>
        <v>8.1838999999999995</v>
      </c>
      <c r="K276" s="4"/>
      <c r="L276" s="9">
        <v>30.7165</v>
      </c>
      <c r="M276" s="9">
        <v>12.063700000000001</v>
      </c>
      <c r="N276" s="9">
        <v>4.9444999999999997</v>
      </c>
      <c r="O276" s="9">
        <v>0.37409999999999999</v>
      </c>
      <c r="P276" s="9">
        <v>1.2183999999999999</v>
      </c>
      <c r="Q276" s="9">
        <v>30.580300000000001</v>
      </c>
      <c r="R276" s="9"/>
      <c r="S276" s="11"/>
    </row>
    <row r="277" spans="1:19" ht="15.75">
      <c r="A277" s="14">
        <v>49919</v>
      </c>
      <c r="B277" s="8">
        <f>CHOOSE( CONTROL!$C$32, 8.376, 8.3705) * CHOOSE(CONTROL!$C$15, $D$11, 100%, $F$11)</f>
        <v>8.3759999999999994</v>
      </c>
      <c r="C277" s="8">
        <f>CHOOSE( CONTROL!$C$32, 8.3841, 8.3786) * CHOOSE(CONTROL!$C$15, $D$11, 100%, $F$11)</f>
        <v>8.3841000000000001</v>
      </c>
      <c r="D277" s="8">
        <f>CHOOSE( CONTROL!$C$32, 8.4105, 8.4049) * CHOOSE( CONTROL!$C$15, $D$11, 100%, $F$11)</f>
        <v>8.4105000000000008</v>
      </c>
      <c r="E277" s="12">
        <f>CHOOSE( CONTROL!$C$32, 8.3997, 8.3941) * CHOOSE( CONTROL!$C$15, $D$11, 100%, $F$11)</f>
        <v>8.3996999999999993</v>
      </c>
      <c r="F277" s="4">
        <f>CHOOSE( CONTROL!$C$32, 9.0884, 9.0829) * CHOOSE(CONTROL!$C$15, $D$11, 100%, $F$11)</f>
        <v>9.0884</v>
      </c>
      <c r="G277" s="8">
        <f>CHOOSE( CONTROL!$C$32, 8.1672, 8.1617) * CHOOSE( CONTROL!$C$15, $D$11, 100%, $F$11)</f>
        <v>8.1671999999999993</v>
      </c>
      <c r="H277" s="4">
        <f>CHOOSE( CONTROL!$C$32, 9.1115, 9.106) * CHOOSE(CONTROL!$C$15, $D$11, 100%, $F$11)</f>
        <v>9.1114999999999995</v>
      </c>
      <c r="I277" s="8">
        <f>CHOOSE( CONTROL!$C$32, 8.1307, 8.1253) * CHOOSE(CONTROL!$C$15, $D$11, 100%, $F$11)</f>
        <v>8.1306999999999992</v>
      </c>
      <c r="J277" s="4">
        <f>CHOOSE( CONTROL!$C$32, 8.0126, 8.0073) * CHOOSE(CONTROL!$C$15, $D$11, 100%, $F$11)</f>
        <v>8.0126000000000008</v>
      </c>
      <c r="K277" s="4"/>
      <c r="L277" s="9">
        <v>29.7257</v>
      </c>
      <c r="M277" s="9">
        <v>11.6745</v>
      </c>
      <c r="N277" s="9">
        <v>4.7850000000000001</v>
      </c>
      <c r="O277" s="9">
        <v>0.36199999999999999</v>
      </c>
      <c r="P277" s="9">
        <v>1.1791</v>
      </c>
      <c r="Q277" s="9">
        <v>29.593800000000002</v>
      </c>
      <c r="R277" s="9"/>
      <c r="S277" s="11"/>
    </row>
    <row r="278" spans="1:19" ht="15.75">
      <c r="A278" s="14">
        <v>49949</v>
      </c>
      <c r="B278" s="8">
        <f>8.7392 * CHOOSE(CONTROL!$C$15, $D$11, 100%, $F$11)</f>
        <v>8.7392000000000003</v>
      </c>
      <c r="C278" s="8">
        <f>8.7447 * CHOOSE(CONTROL!$C$15, $D$11, 100%, $F$11)</f>
        <v>8.7446999999999999</v>
      </c>
      <c r="D278" s="8">
        <f>8.7759 * CHOOSE( CONTROL!$C$15, $D$11, 100%, $F$11)</f>
        <v>8.7759</v>
      </c>
      <c r="E278" s="12">
        <f>8.765 * CHOOSE( CONTROL!$C$15, $D$11, 100%, $F$11)</f>
        <v>8.7650000000000006</v>
      </c>
      <c r="F278" s="4">
        <f>9.4534 * CHOOSE(CONTROL!$C$15, $D$11, 100%, $F$11)</f>
        <v>9.4534000000000002</v>
      </c>
      <c r="G278" s="8">
        <f>8.5227 * CHOOSE( CONTROL!$C$15, $D$11, 100%, $F$11)</f>
        <v>8.5227000000000004</v>
      </c>
      <c r="H278" s="4">
        <f>9.4679 * CHOOSE(CONTROL!$C$15, $D$11, 100%, $F$11)</f>
        <v>9.4679000000000002</v>
      </c>
      <c r="I278" s="8">
        <f>8.4821 * CHOOSE(CONTROL!$C$15, $D$11, 100%, $F$11)</f>
        <v>8.4821000000000009</v>
      </c>
      <c r="J278" s="4">
        <f>8.363 * CHOOSE(CONTROL!$C$15, $D$11, 100%, $F$11)</f>
        <v>8.3629999999999995</v>
      </c>
      <c r="K278" s="4"/>
      <c r="L278" s="9">
        <v>31.095300000000002</v>
      </c>
      <c r="M278" s="9">
        <v>12.063700000000001</v>
      </c>
      <c r="N278" s="9">
        <v>4.9444999999999997</v>
      </c>
      <c r="O278" s="9">
        <v>0.37409999999999999</v>
      </c>
      <c r="P278" s="9">
        <v>1.2183999999999999</v>
      </c>
      <c r="Q278" s="9">
        <v>30.580300000000001</v>
      </c>
      <c r="R278" s="9"/>
      <c r="S278" s="11"/>
    </row>
    <row r="279" spans="1:19" ht="15.75">
      <c r="A279" s="14">
        <v>49980</v>
      </c>
      <c r="B279" s="8">
        <f>9.4227 * CHOOSE(CONTROL!$C$15, $D$11, 100%, $F$11)</f>
        <v>9.4227000000000007</v>
      </c>
      <c r="C279" s="8">
        <f>9.4279 * CHOOSE(CONTROL!$C$15, $D$11, 100%, $F$11)</f>
        <v>9.4278999999999993</v>
      </c>
      <c r="D279" s="8">
        <f>9.4141 * CHOOSE( CONTROL!$C$15, $D$11, 100%, $F$11)</f>
        <v>9.4140999999999995</v>
      </c>
      <c r="E279" s="12">
        <f>9.4186 * CHOOSE( CONTROL!$C$15, $D$11, 100%, $F$11)</f>
        <v>9.4185999999999996</v>
      </c>
      <c r="F279" s="4">
        <f>10.0732 * CHOOSE(CONTROL!$C$15, $D$11, 100%, $F$11)</f>
        <v>10.0732</v>
      </c>
      <c r="G279" s="8">
        <f>9.1982 * CHOOSE( CONTROL!$C$15, $D$11, 100%, $F$11)</f>
        <v>9.1981999999999999</v>
      </c>
      <c r="H279" s="4">
        <f>10.0732 * CHOOSE(CONTROL!$C$15, $D$11, 100%, $F$11)</f>
        <v>10.0732</v>
      </c>
      <c r="I279" s="8">
        <f>9.1826 * CHOOSE(CONTROL!$C$15, $D$11, 100%, $F$11)</f>
        <v>9.1826000000000008</v>
      </c>
      <c r="J279" s="4">
        <f>9.0195 * CHOOSE(CONTROL!$C$15, $D$11, 100%, $F$11)</f>
        <v>9.0195000000000007</v>
      </c>
      <c r="K279" s="4"/>
      <c r="L279" s="9">
        <v>28.360600000000002</v>
      </c>
      <c r="M279" s="9">
        <v>11.6745</v>
      </c>
      <c r="N279" s="9">
        <v>4.7850000000000001</v>
      </c>
      <c r="O279" s="9">
        <v>0.36199999999999999</v>
      </c>
      <c r="P279" s="9">
        <v>1.2509999999999999</v>
      </c>
      <c r="Q279" s="9">
        <v>29.593800000000002</v>
      </c>
      <c r="R279" s="9"/>
      <c r="S279" s="11"/>
    </row>
    <row r="280" spans="1:19" ht="15.75">
      <c r="A280" s="14">
        <v>50010</v>
      </c>
      <c r="B280" s="8">
        <f>9.4056 * CHOOSE(CONTROL!$C$15, $D$11, 100%, $F$11)</f>
        <v>9.4055999999999997</v>
      </c>
      <c r="C280" s="8">
        <f>9.4108 * CHOOSE(CONTROL!$C$15, $D$11, 100%, $F$11)</f>
        <v>9.4108000000000001</v>
      </c>
      <c r="D280" s="8">
        <f>9.3985 * CHOOSE( CONTROL!$C$15, $D$11, 100%, $F$11)</f>
        <v>9.3985000000000003</v>
      </c>
      <c r="E280" s="12">
        <f>9.4024 * CHOOSE( CONTROL!$C$15, $D$11, 100%, $F$11)</f>
        <v>9.4024000000000001</v>
      </c>
      <c r="F280" s="4">
        <f>10.0561 * CHOOSE(CONTROL!$C$15, $D$11, 100%, $F$11)</f>
        <v>10.056100000000001</v>
      </c>
      <c r="G280" s="8">
        <f>9.1826 * CHOOSE( CONTROL!$C$15, $D$11, 100%, $F$11)</f>
        <v>9.1826000000000008</v>
      </c>
      <c r="H280" s="4">
        <f>10.0566 * CHOOSE(CONTROL!$C$15, $D$11, 100%, $F$11)</f>
        <v>10.0566</v>
      </c>
      <c r="I280" s="8">
        <f>9.171 * CHOOSE(CONTROL!$C$15, $D$11, 100%, $F$11)</f>
        <v>9.1709999999999994</v>
      </c>
      <c r="J280" s="4">
        <f>9.0031 * CHOOSE(CONTROL!$C$15, $D$11, 100%, $F$11)</f>
        <v>9.0030999999999999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30.580300000000001</v>
      </c>
      <c r="R280" s="9"/>
      <c r="S280" s="11"/>
    </row>
    <row r="281" spans="1:19" ht="15.75">
      <c r="A281" s="14">
        <v>50041</v>
      </c>
      <c r="B281" s="8">
        <f>9.764 * CHOOSE(CONTROL!$C$15, $D$11, 100%, $F$11)</f>
        <v>9.7639999999999993</v>
      </c>
      <c r="C281" s="8">
        <f>9.7692 * CHOOSE(CONTROL!$C$15, $D$11, 100%, $F$11)</f>
        <v>9.7691999999999997</v>
      </c>
      <c r="D281" s="8">
        <f>9.7516 * CHOOSE( CONTROL!$C$15, $D$11, 100%, $F$11)</f>
        <v>9.7515999999999998</v>
      </c>
      <c r="E281" s="12">
        <f>9.7575 * CHOOSE( CONTROL!$C$15, $D$11, 100%, $F$11)</f>
        <v>9.7575000000000003</v>
      </c>
      <c r="F281" s="4">
        <f>10.4145 * CHOOSE(CONTROL!$C$15, $D$11, 100%, $F$11)</f>
        <v>10.4145</v>
      </c>
      <c r="G281" s="8">
        <f>9.5227 * CHOOSE( CONTROL!$C$15, $D$11, 100%, $F$11)</f>
        <v>9.5227000000000004</v>
      </c>
      <c r="H281" s="4">
        <f>10.4066 * CHOOSE(CONTROL!$C$15, $D$11, 100%, $F$11)</f>
        <v>10.406599999999999</v>
      </c>
      <c r="I281" s="8">
        <f>9.4751 * CHOOSE(CONTROL!$C$15, $D$11, 100%, $F$11)</f>
        <v>9.4750999999999994</v>
      </c>
      <c r="J281" s="4">
        <f>9.3472 * CHOOSE(CONTROL!$C$15, $D$11, 100%, $F$11)</f>
        <v>9.3472000000000008</v>
      </c>
      <c r="K281" s="4"/>
      <c r="L281" s="9">
        <v>29.306000000000001</v>
      </c>
      <c r="M281" s="9">
        <v>12.063700000000001</v>
      </c>
      <c r="N281" s="9">
        <v>4.9444999999999997</v>
      </c>
      <c r="O281" s="9">
        <v>0.37409999999999999</v>
      </c>
      <c r="P281" s="9">
        <v>1.2927</v>
      </c>
      <c r="Q281" s="9">
        <v>30.5152</v>
      </c>
      <c r="R281" s="9"/>
      <c r="S281" s="11"/>
    </row>
    <row r="282" spans="1:19" ht="15.75">
      <c r="A282" s="14">
        <v>50072</v>
      </c>
      <c r="B282" s="8">
        <f>9.1346 * CHOOSE(CONTROL!$C$15, $D$11, 100%, $F$11)</f>
        <v>9.1346000000000007</v>
      </c>
      <c r="C282" s="8">
        <f>9.1398 * CHOOSE(CONTROL!$C$15, $D$11, 100%, $F$11)</f>
        <v>9.1397999999999993</v>
      </c>
      <c r="D282" s="8">
        <f>9.1222 * CHOOSE( CONTROL!$C$15, $D$11, 100%, $F$11)</f>
        <v>9.1221999999999994</v>
      </c>
      <c r="E282" s="12">
        <f>9.1281 * CHOOSE( CONTROL!$C$15, $D$11, 100%, $F$11)</f>
        <v>9.1280999999999999</v>
      </c>
      <c r="F282" s="4">
        <f>9.7851 * CHOOSE(CONTROL!$C$15, $D$11, 100%, $F$11)</f>
        <v>9.7850999999999999</v>
      </c>
      <c r="G282" s="8">
        <f>8.9079 * CHOOSE( CONTROL!$C$15, $D$11, 100%, $F$11)</f>
        <v>8.9078999999999997</v>
      </c>
      <c r="H282" s="4">
        <f>9.7919 * CHOOSE(CONTROL!$C$15, $D$11, 100%, $F$11)</f>
        <v>9.7919</v>
      </c>
      <c r="I282" s="8">
        <f>8.8703 * CHOOSE(CONTROL!$C$15, $D$11, 100%, $F$11)</f>
        <v>8.8703000000000003</v>
      </c>
      <c r="J282" s="4">
        <f>8.7429 * CHOOSE(CONTROL!$C$15, $D$11, 100%, $F$11)</f>
        <v>8.7429000000000006</v>
      </c>
      <c r="K282" s="4"/>
      <c r="L282" s="9">
        <v>26.469899999999999</v>
      </c>
      <c r="M282" s="9">
        <v>10.8962</v>
      </c>
      <c r="N282" s="9">
        <v>4.4660000000000002</v>
      </c>
      <c r="O282" s="9">
        <v>0.33789999999999998</v>
      </c>
      <c r="P282" s="9">
        <v>1.1676</v>
      </c>
      <c r="Q282" s="9">
        <v>27.562100000000001</v>
      </c>
      <c r="R282" s="9"/>
      <c r="S282" s="11"/>
    </row>
    <row r="283" spans="1:19" ht="15.75">
      <c r="A283" s="14">
        <v>50100</v>
      </c>
      <c r="B283" s="8">
        <f>8.9407 * CHOOSE(CONTROL!$C$15, $D$11, 100%, $F$11)</f>
        <v>8.9406999999999996</v>
      </c>
      <c r="C283" s="8">
        <f>8.9459 * CHOOSE(CONTROL!$C$15, $D$11, 100%, $F$11)</f>
        <v>8.9459</v>
      </c>
      <c r="D283" s="8">
        <f>8.9279 * CHOOSE( CONTROL!$C$15, $D$11, 100%, $F$11)</f>
        <v>8.9278999999999993</v>
      </c>
      <c r="E283" s="12">
        <f>8.9339 * CHOOSE( CONTROL!$C$15, $D$11, 100%, $F$11)</f>
        <v>8.9338999999999995</v>
      </c>
      <c r="F283" s="4">
        <f>9.5912 * CHOOSE(CONTROL!$C$15, $D$11, 100%, $F$11)</f>
        <v>9.5912000000000006</v>
      </c>
      <c r="G283" s="8">
        <f>8.7183 * CHOOSE( CONTROL!$C$15, $D$11, 100%, $F$11)</f>
        <v>8.7182999999999993</v>
      </c>
      <c r="H283" s="4">
        <f>9.6025 * CHOOSE(CONTROL!$C$15, $D$11, 100%, $F$11)</f>
        <v>9.6024999999999991</v>
      </c>
      <c r="I283" s="8">
        <f>8.6829 * CHOOSE(CONTROL!$C$15, $D$11, 100%, $F$11)</f>
        <v>8.6829000000000001</v>
      </c>
      <c r="J283" s="4">
        <f>8.5568 * CHOOSE(CONTROL!$C$15, $D$11, 100%, $F$11)</f>
        <v>8.5568000000000008</v>
      </c>
      <c r="K283" s="4"/>
      <c r="L283" s="9">
        <v>29.306000000000001</v>
      </c>
      <c r="M283" s="9">
        <v>12.063700000000001</v>
      </c>
      <c r="N283" s="9">
        <v>4.9444999999999997</v>
      </c>
      <c r="O283" s="9">
        <v>0.37409999999999999</v>
      </c>
      <c r="P283" s="9">
        <v>1.2927</v>
      </c>
      <c r="Q283" s="9">
        <v>30.5152</v>
      </c>
      <c r="R283" s="9"/>
      <c r="S283" s="11"/>
    </row>
    <row r="284" spans="1:19" ht="15.75">
      <c r="A284" s="14">
        <v>50131</v>
      </c>
      <c r="B284" s="8">
        <f>9.077 * CHOOSE(CONTROL!$C$15, $D$11, 100%, $F$11)</f>
        <v>9.077</v>
      </c>
      <c r="C284" s="8">
        <f>9.0816 * CHOOSE(CONTROL!$C$15, $D$11, 100%, $F$11)</f>
        <v>9.0815999999999999</v>
      </c>
      <c r="D284" s="8">
        <f>9.1127 * CHOOSE( CONTROL!$C$15, $D$11, 100%, $F$11)</f>
        <v>9.1127000000000002</v>
      </c>
      <c r="E284" s="12">
        <f>9.1019 * CHOOSE( CONTROL!$C$15, $D$11, 100%, $F$11)</f>
        <v>9.1019000000000005</v>
      </c>
      <c r="F284" s="4">
        <f>9.7907 * CHOOSE(CONTROL!$C$15, $D$11, 100%, $F$11)</f>
        <v>9.7906999999999993</v>
      </c>
      <c r="G284" s="8">
        <f>8.8514 * CHOOSE( CONTROL!$C$15, $D$11, 100%, $F$11)</f>
        <v>8.8513999999999999</v>
      </c>
      <c r="H284" s="4">
        <f>9.7974 * CHOOSE(CONTROL!$C$15, $D$11, 100%, $F$11)</f>
        <v>9.7973999999999997</v>
      </c>
      <c r="I284" s="8">
        <f>8.8036 * CHOOSE(CONTROL!$C$15, $D$11, 100%, $F$11)</f>
        <v>8.8035999999999994</v>
      </c>
      <c r="J284" s="4">
        <f>8.6869 * CHOOSE(CONTROL!$C$15, $D$11, 100%, $F$11)</f>
        <v>8.6868999999999996</v>
      </c>
      <c r="K284" s="4"/>
      <c r="L284" s="9">
        <v>30.092199999999998</v>
      </c>
      <c r="M284" s="9">
        <v>11.6745</v>
      </c>
      <c r="N284" s="9">
        <v>4.7850000000000001</v>
      </c>
      <c r="O284" s="9">
        <v>0.36199999999999999</v>
      </c>
      <c r="P284" s="9">
        <v>1.1791</v>
      </c>
      <c r="Q284" s="9">
        <v>29.530799999999999</v>
      </c>
      <c r="R284" s="9"/>
      <c r="S284" s="11"/>
    </row>
    <row r="285" spans="1:19" ht="15.75">
      <c r="A285" s="14">
        <v>50161</v>
      </c>
      <c r="B285" s="8">
        <f>CHOOSE( CONTROL!$C$32, 9.325, 9.3194) * CHOOSE(CONTROL!$C$15, $D$11, 100%, $F$11)</f>
        <v>9.3249999999999993</v>
      </c>
      <c r="C285" s="8">
        <f>CHOOSE( CONTROL!$C$32, 9.3331, 9.3275) * CHOOSE(CONTROL!$C$15, $D$11, 100%, $F$11)</f>
        <v>9.3331</v>
      </c>
      <c r="D285" s="8">
        <f>CHOOSE( CONTROL!$C$32, 9.359, 9.3535) * CHOOSE( CONTROL!$C$15, $D$11, 100%, $F$11)</f>
        <v>9.359</v>
      </c>
      <c r="E285" s="12">
        <f>CHOOSE( CONTROL!$C$32, 9.3484, 9.3428) * CHOOSE( CONTROL!$C$15, $D$11, 100%, $F$11)</f>
        <v>9.3483999999999998</v>
      </c>
      <c r="F285" s="4">
        <f>CHOOSE( CONTROL!$C$32, 10.0374, 10.0318) * CHOOSE(CONTROL!$C$15, $D$11, 100%, $F$11)</f>
        <v>10.0374</v>
      </c>
      <c r="G285" s="8">
        <f>CHOOSE( CONTROL!$C$32, 9.0934, 9.088) * CHOOSE( CONTROL!$C$15, $D$11, 100%, $F$11)</f>
        <v>9.0934000000000008</v>
      </c>
      <c r="H285" s="4">
        <f>CHOOSE( CONTROL!$C$32, 10.0383, 10.0329) * CHOOSE(CONTROL!$C$15, $D$11, 100%, $F$11)</f>
        <v>10.0383</v>
      </c>
      <c r="I285" s="8">
        <f>CHOOSE( CONTROL!$C$32, 9.0404, 9.0351) * CHOOSE(CONTROL!$C$15, $D$11, 100%, $F$11)</f>
        <v>9.0404</v>
      </c>
      <c r="J285" s="4">
        <f>CHOOSE( CONTROL!$C$32, 8.9237, 8.9184) * CHOOSE(CONTROL!$C$15, $D$11, 100%, $F$11)</f>
        <v>8.9237000000000002</v>
      </c>
      <c r="K285" s="4"/>
      <c r="L285" s="9">
        <v>30.7165</v>
      </c>
      <c r="M285" s="9">
        <v>12.063700000000001</v>
      </c>
      <c r="N285" s="9">
        <v>4.9444999999999997</v>
      </c>
      <c r="O285" s="9">
        <v>0.37409999999999999</v>
      </c>
      <c r="P285" s="9">
        <v>1.2183999999999999</v>
      </c>
      <c r="Q285" s="9">
        <v>30.5152</v>
      </c>
      <c r="R285" s="9"/>
      <c r="S285" s="11"/>
    </row>
    <row r="286" spans="1:19" ht="15.75">
      <c r="A286" s="14">
        <v>50192</v>
      </c>
      <c r="B286" s="8">
        <f>CHOOSE( CONTROL!$C$32, 9.1756, 9.1701) * CHOOSE(CONTROL!$C$15, $D$11, 100%, $F$11)</f>
        <v>9.1755999999999993</v>
      </c>
      <c r="C286" s="8">
        <f>CHOOSE( CONTROL!$C$32, 9.1837, 9.1782) * CHOOSE(CONTROL!$C$15, $D$11, 100%, $F$11)</f>
        <v>9.1837</v>
      </c>
      <c r="D286" s="8">
        <f>CHOOSE( CONTROL!$C$32, 9.2099, 9.2043) * CHOOSE( CONTROL!$C$15, $D$11, 100%, $F$11)</f>
        <v>9.2098999999999993</v>
      </c>
      <c r="E286" s="12">
        <f>CHOOSE( CONTROL!$C$32, 9.1992, 9.1936) * CHOOSE( CONTROL!$C$15, $D$11, 100%, $F$11)</f>
        <v>9.1991999999999994</v>
      </c>
      <c r="F286" s="4">
        <f>CHOOSE( CONTROL!$C$32, 9.888, 9.8825) * CHOOSE(CONTROL!$C$15, $D$11, 100%, $F$11)</f>
        <v>9.8879999999999999</v>
      </c>
      <c r="G286" s="8">
        <f>CHOOSE( CONTROL!$C$32, 8.9478, 8.9424) * CHOOSE( CONTROL!$C$15, $D$11, 100%, $F$11)</f>
        <v>8.9478000000000009</v>
      </c>
      <c r="H286" s="4">
        <f>CHOOSE( CONTROL!$C$32, 9.8924, 9.887) * CHOOSE(CONTROL!$C$15, $D$11, 100%, $F$11)</f>
        <v>9.8924000000000003</v>
      </c>
      <c r="I286" s="8">
        <f>CHOOSE( CONTROL!$C$32, 8.8978, 8.8924) * CHOOSE(CONTROL!$C$15, $D$11, 100%, $F$11)</f>
        <v>8.8978000000000002</v>
      </c>
      <c r="J286" s="4">
        <f>CHOOSE( CONTROL!$C$32, 8.7803, 8.775) * CHOOSE(CONTROL!$C$15, $D$11, 100%, $F$11)</f>
        <v>8.7803000000000004</v>
      </c>
      <c r="K286" s="4"/>
      <c r="L286" s="9">
        <v>29.7257</v>
      </c>
      <c r="M286" s="9">
        <v>11.6745</v>
      </c>
      <c r="N286" s="9">
        <v>4.7850000000000001</v>
      </c>
      <c r="O286" s="9">
        <v>0.36199999999999999</v>
      </c>
      <c r="P286" s="9">
        <v>1.1791</v>
      </c>
      <c r="Q286" s="9">
        <v>29.530799999999999</v>
      </c>
      <c r="R286" s="9"/>
      <c r="S286" s="11"/>
    </row>
    <row r="287" spans="1:19" ht="15.75">
      <c r="A287" s="14">
        <v>50222</v>
      </c>
      <c r="B287" s="8">
        <f>CHOOSE( CONTROL!$C$32, 9.5689, 9.5634) * CHOOSE(CONTROL!$C$15, $D$11, 100%, $F$11)</f>
        <v>9.5688999999999993</v>
      </c>
      <c r="C287" s="8">
        <f>CHOOSE( CONTROL!$C$32, 9.577, 9.5714) * CHOOSE(CONTROL!$C$15, $D$11, 100%, $F$11)</f>
        <v>9.577</v>
      </c>
      <c r="D287" s="8">
        <f>CHOOSE( CONTROL!$C$32, 9.6034, 9.5978) * CHOOSE( CONTROL!$C$15, $D$11, 100%, $F$11)</f>
        <v>9.6034000000000006</v>
      </c>
      <c r="E287" s="12">
        <f>CHOOSE( CONTROL!$C$32, 9.5926, 9.587) * CHOOSE( CONTROL!$C$15, $D$11, 100%, $F$11)</f>
        <v>9.5925999999999991</v>
      </c>
      <c r="F287" s="4">
        <f>CHOOSE( CONTROL!$C$32, 10.2813, 10.2757) * CHOOSE(CONTROL!$C$15, $D$11, 100%, $F$11)</f>
        <v>10.2813</v>
      </c>
      <c r="G287" s="8">
        <f>CHOOSE( CONTROL!$C$32, 9.3323, 9.3268) * CHOOSE( CONTROL!$C$15, $D$11, 100%, $F$11)</f>
        <v>9.3323</v>
      </c>
      <c r="H287" s="4">
        <f>CHOOSE( CONTROL!$C$32, 10.2766, 10.2711) * CHOOSE(CONTROL!$C$15, $D$11, 100%, $F$11)</f>
        <v>10.2766</v>
      </c>
      <c r="I287" s="8">
        <f>CHOOSE( CONTROL!$C$32, 9.2765, 9.2712) * CHOOSE(CONTROL!$C$15, $D$11, 100%, $F$11)</f>
        <v>9.2765000000000004</v>
      </c>
      <c r="J287" s="4">
        <f>CHOOSE( CONTROL!$C$32, 9.1579, 9.1526) * CHOOSE(CONTROL!$C$15, $D$11, 100%, $F$11)</f>
        <v>9.1578999999999997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1.2183999999999999</v>
      </c>
      <c r="Q287" s="9">
        <v>30.5152</v>
      </c>
      <c r="R287" s="9"/>
      <c r="S287" s="11"/>
    </row>
    <row r="288" spans="1:19" ht="15.75">
      <c r="A288" s="14">
        <v>50253</v>
      </c>
      <c r="B288" s="8">
        <f>CHOOSE( CONTROL!$C$32, 8.8331, 8.8275) * CHOOSE(CONTROL!$C$15, $D$11, 100%, $F$11)</f>
        <v>8.8331</v>
      </c>
      <c r="C288" s="8">
        <f>CHOOSE( CONTROL!$C$32, 8.8411, 8.8356) * CHOOSE(CONTROL!$C$15, $D$11, 100%, $F$11)</f>
        <v>8.8411000000000008</v>
      </c>
      <c r="D288" s="8">
        <f>CHOOSE( CONTROL!$C$32, 8.8675, 8.862) * CHOOSE( CONTROL!$C$15, $D$11, 100%, $F$11)</f>
        <v>8.8674999999999997</v>
      </c>
      <c r="E288" s="12">
        <f>CHOOSE( CONTROL!$C$32, 8.8567, 8.8512) * CHOOSE( CONTROL!$C$15, $D$11, 100%, $F$11)</f>
        <v>8.8567</v>
      </c>
      <c r="F288" s="4">
        <f>CHOOSE( CONTROL!$C$32, 9.5454, 9.5399) * CHOOSE(CONTROL!$C$15, $D$11, 100%, $F$11)</f>
        <v>9.5454000000000008</v>
      </c>
      <c r="G288" s="8">
        <f>CHOOSE( CONTROL!$C$32, 8.6136, 8.6082) * CHOOSE( CONTROL!$C$15, $D$11, 100%, $F$11)</f>
        <v>8.6135999999999999</v>
      </c>
      <c r="H288" s="4">
        <f>CHOOSE( CONTROL!$C$32, 9.5578, 9.5524) * CHOOSE(CONTROL!$C$15, $D$11, 100%, $F$11)</f>
        <v>9.5578000000000003</v>
      </c>
      <c r="I288" s="8">
        <f>CHOOSE( CONTROL!$C$32, 8.5699, 8.5646) * CHOOSE(CONTROL!$C$15, $D$11, 100%, $F$11)</f>
        <v>8.5699000000000005</v>
      </c>
      <c r="J288" s="4">
        <f>CHOOSE( CONTROL!$C$32, 8.4514, 8.446) * CHOOSE(CONTROL!$C$15, $D$11, 100%, $F$11)</f>
        <v>8.4513999999999996</v>
      </c>
      <c r="K288" s="4"/>
      <c r="L288" s="9">
        <v>30.7165</v>
      </c>
      <c r="M288" s="9">
        <v>12.063700000000001</v>
      </c>
      <c r="N288" s="9">
        <v>4.9444999999999997</v>
      </c>
      <c r="O288" s="9">
        <v>0.37409999999999999</v>
      </c>
      <c r="P288" s="9">
        <v>1.2183999999999999</v>
      </c>
      <c r="Q288" s="9">
        <v>30.5152</v>
      </c>
      <c r="R288" s="9"/>
      <c r="S288" s="11"/>
    </row>
    <row r="289" spans="1:19" ht="15.75">
      <c r="A289" s="14">
        <v>50284</v>
      </c>
      <c r="B289" s="8">
        <f>CHOOSE( CONTROL!$C$32, 8.6488, 8.6432) * CHOOSE(CONTROL!$C$15, $D$11, 100%, $F$11)</f>
        <v>8.6487999999999996</v>
      </c>
      <c r="C289" s="8">
        <f>CHOOSE( CONTROL!$C$32, 8.6569, 8.6513) * CHOOSE(CONTROL!$C$15, $D$11, 100%, $F$11)</f>
        <v>8.6569000000000003</v>
      </c>
      <c r="D289" s="8">
        <f>CHOOSE( CONTROL!$C$32, 8.6832, 8.6777) * CHOOSE( CONTROL!$C$15, $D$11, 100%, $F$11)</f>
        <v>8.6831999999999994</v>
      </c>
      <c r="E289" s="12">
        <f>CHOOSE( CONTROL!$C$32, 8.6724, 8.6669) * CHOOSE( CONTROL!$C$15, $D$11, 100%, $F$11)</f>
        <v>8.6723999999999997</v>
      </c>
      <c r="F289" s="4">
        <f>CHOOSE( CONTROL!$C$32, 9.3612, 9.3556) * CHOOSE(CONTROL!$C$15, $D$11, 100%, $F$11)</f>
        <v>9.3612000000000002</v>
      </c>
      <c r="G289" s="8">
        <f>CHOOSE( CONTROL!$C$32, 8.4336, 8.4281) * CHOOSE( CONTROL!$C$15, $D$11, 100%, $F$11)</f>
        <v>8.4336000000000002</v>
      </c>
      <c r="H289" s="4">
        <f>CHOOSE( CONTROL!$C$32, 9.3779, 9.3724) * CHOOSE(CONTROL!$C$15, $D$11, 100%, $F$11)</f>
        <v>9.3779000000000003</v>
      </c>
      <c r="I289" s="8">
        <f>CHOOSE( CONTROL!$C$32, 8.3927, 8.3873) * CHOOSE(CONTROL!$C$15, $D$11, 100%, $F$11)</f>
        <v>8.3926999999999996</v>
      </c>
      <c r="J289" s="4">
        <f>CHOOSE( CONTROL!$C$32, 8.2745, 8.2691) * CHOOSE(CONTROL!$C$15, $D$11, 100%, $F$11)</f>
        <v>8.2744999999999997</v>
      </c>
      <c r="K289" s="4"/>
      <c r="L289" s="9">
        <v>29.7257</v>
      </c>
      <c r="M289" s="9">
        <v>11.6745</v>
      </c>
      <c r="N289" s="9">
        <v>4.7850000000000001</v>
      </c>
      <c r="O289" s="9">
        <v>0.36199999999999999</v>
      </c>
      <c r="P289" s="9">
        <v>1.1791</v>
      </c>
      <c r="Q289" s="9">
        <v>29.530799999999999</v>
      </c>
      <c r="R289" s="9"/>
      <c r="S289" s="11"/>
    </row>
    <row r="290" spans="1:19" ht="15.75">
      <c r="A290" s="14">
        <v>50314</v>
      </c>
      <c r="B290" s="8">
        <f>9.0241 * CHOOSE(CONTROL!$C$15, $D$11, 100%, $F$11)</f>
        <v>9.0241000000000007</v>
      </c>
      <c r="C290" s="8">
        <f>9.0295 * CHOOSE(CONTROL!$C$15, $D$11, 100%, $F$11)</f>
        <v>9.0295000000000005</v>
      </c>
      <c r="D290" s="8">
        <f>9.0607 * CHOOSE( CONTROL!$C$15, $D$11, 100%, $F$11)</f>
        <v>9.0607000000000006</v>
      </c>
      <c r="E290" s="12">
        <f>9.0498 * CHOOSE( CONTROL!$C$15, $D$11, 100%, $F$11)</f>
        <v>9.0497999999999994</v>
      </c>
      <c r="F290" s="4">
        <f>9.7382 * CHOOSE(CONTROL!$C$15, $D$11, 100%, $F$11)</f>
        <v>9.7382000000000009</v>
      </c>
      <c r="G290" s="8">
        <f>8.801 * CHOOSE( CONTROL!$C$15, $D$11, 100%, $F$11)</f>
        <v>8.8010000000000002</v>
      </c>
      <c r="H290" s="4">
        <f>9.7461 * CHOOSE(CONTROL!$C$15, $D$11, 100%, $F$11)</f>
        <v>9.7461000000000002</v>
      </c>
      <c r="I290" s="8">
        <f>8.7557 * CHOOSE(CONTROL!$C$15, $D$11, 100%, $F$11)</f>
        <v>8.7556999999999992</v>
      </c>
      <c r="J290" s="4">
        <f>8.6365 * CHOOSE(CONTROL!$C$15, $D$11, 100%, $F$11)</f>
        <v>8.6364999999999998</v>
      </c>
      <c r="K290" s="4"/>
      <c r="L290" s="9">
        <v>31.095300000000002</v>
      </c>
      <c r="M290" s="9">
        <v>12.063700000000001</v>
      </c>
      <c r="N290" s="9">
        <v>4.9444999999999997</v>
      </c>
      <c r="O290" s="9">
        <v>0.37409999999999999</v>
      </c>
      <c r="P290" s="9">
        <v>1.2183999999999999</v>
      </c>
      <c r="Q290" s="9">
        <v>30.5152</v>
      </c>
      <c r="R290" s="9"/>
      <c r="S290" s="11"/>
    </row>
    <row r="291" spans="1:19" ht="15.75">
      <c r="A291" s="14">
        <v>50345</v>
      </c>
      <c r="B291" s="8">
        <f>9.7299 * CHOOSE(CONTROL!$C$15, $D$11, 100%, $F$11)</f>
        <v>9.7299000000000007</v>
      </c>
      <c r="C291" s="8">
        <f>9.7351 * CHOOSE(CONTROL!$C$15, $D$11, 100%, $F$11)</f>
        <v>9.7350999999999992</v>
      </c>
      <c r="D291" s="8">
        <f>9.7213 * CHOOSE( CONTROL!$C$15, $D$11, 100%, $F$11)</f>
        <v>9.7212999999999994</v>
      </c>
      <c r="E291" s="12">
        <f>9.7258 * CHOOSE( CONTROL!$C$15, $D$11, 100%, $F$11)</f>
        <v>9.7257999999999996</v>
      </c>
      <c r="F291" s="4">
        <f>10.3804 * CHOOSE(CONTROL!$C$15, $D$11, 100%, $F$11)</f>
        <v>10.3804</v>
      </c>
      <c r="G291" s="8">
        <f>9.4983 * CHOOSE( CONTROL!$C$15, $D$11, 100%, $F$11)</f>
        <v>9.4983000000000004</v>
      </c>
      <c r="H291" s="4">
        <f>10.3733 * CHOOSE(CONTROL!$C$15, $D$11, 100%, $F$11)</f>
        <v>10.3733</v>
      </c>
      <c r="I291" s="8">
        <f>9.4777 * CHOOSE(CONTROL!$C$15, $D$11, 100%, $F$11)</f>
        <v>9.4777000000000005</v>
      </c>
      <c r="J291" s="4">
        <f>9.3145 * CHOOSE(CONTROL!$C$15, $D$11, 100%, $F$11)</f>
        <v>9.3145000000000007</v>
      </c>
      <c r="K291" s="4"/>
      <c r="L291" s="9">
        <v>28.360600000000002</v>
      </c>
      <c r="M291" s="9">
        <v>11.6745</v>
      </c>
      <c r="N291" s="9">
        <v>4.7850000000000001</v>
      </c>
      <c r="O291" s="9">
        <v>0.36199999999999999</v>
      </c>
      <c r="P291" s="9">
        <v>1.2509999999999999</v>
      </c>
      <c r="Q291" s="9">
        <v>29.530799999999999</v>
      </c>
      <c r="R291" s="9"/>
      <c r="S291" s="11"/>
    </row>
    <row r="292" spans="1:19" ht="15.75">
      <c r="A292" s="14">
        <v>50375</v>
      </c>
      <c r="B292" s="8">
        <f>9.7123 * CHOOSE(CONTROL!$C$15, $D$11, 100%, $F$11)</f>
        <v>9.7123000000000008</v>
      </c>
      <c r="C292" s="8">
        <f>9.7175 * CHOOSE(CONTROL!$C$15, $D$11, 100%, $F$11)</f>
        <v>9.7174999999999994</v>
      </c>
      <c r="D292" s="8">
        <f>9.7052 * CHOOSE( CONTROL!$C$15, $D$11, 100%, $F$11)</f>
        <v>9.7051999999999996</v>
      </c>
      <c r="E292" s="12">
        <f>9.7091 * CHOOSE( CONTROL!$C$15, $D$11, 100%, $F$11)</f>
        <v>9.7090999999999994</v>
      </c>
      <c r="F292" s="4">
        <f>10.3627 * CHOOSE(CONTROL!$C$15, $D$11, 100%, $F$11)</f>
        <v>10.3627</v>
      </c>
      <c r="G292" s="8">
        <f>9.4822 * CHOOSE( CONTROL!$C$15, $D$11, 100%, $F$11)</f>
        <v>9.4822000000000006</v>
      </c>
      <c r="H292" s="4">
        <f>10.3561 * CHOOSE(CONTROL!$C$15, $D$11, 100%, $F$11)</f>
        <v>10.3561</v>
      </c>
      <c r="I292" s="8">
        <f>9.4655 * CHOOSE(CONTROL!$C$15, $D$11, 100%, $F$11)</f>
        <v>9.4655000000000005</v>
      </c>
      <c r="J292" s="4">
        <f>9.2976 * CHOOSE(CONTROL!$C$15, $D$11, 100%, $F$11)</f>
        <v>9.2975999999999992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30.5152</v>
      </c>
      <c r="R292" s="9"/>
      <c r="S292" s="11"/>
    </row>
    <row r="293" spans="1:19" ht="15.75">
      <c r="A293" s="13">
        <v>50436</v>
      </c>
      <c r="B293" s="8">
        <f>10.0824 * CHOOSE(CONTROL!$C$15, $D$11, 100%, $F$11)</f>
        <v>10.0824</v>
      </c>
      <c r="C293" s="8">
        <f>10.0876 * CHOOSE(CONTROL!$C$15, $D$11, 100%, $F$11)</f>
        <v>10.0876</v>
      </c>
      <c r="D293" s="8">
        <f>10.07 * CHOOSE( CONTROL!$C$15, $D$11, 100%, $F$11)</f>
        <v>10.07</v>
      </c>
      <c r="E293" s="12">
        <f>10.0759 * CHOOSE( CONTROL!$C$15, $D$11, 100%, $F$11)</f>
        <v>10.075900000000001</v>
      </c>
      <c r="F293" s="4">
        <f>10.7329 * CHOOSE(CONTROL!$C$15, $D$11, 100%, $F$11)</f>
        <v>10.732900000000001</v>
      </c>
      <c r="G293" s="8">
        <f>9.8336 * CHOOSE( CONTROL!$C$15, $D$11, 100%, $F$11)</f>
        <v>9.8336000000000006</v>
      </c>
      <c r="H293" s="4">
        <f>10.7176 * CHOOSE(CONTROL!$C$15, $D$11, 100%, $F$11)</f>
        <v>10.717599999999999</v>
      </c>
      <c r="I293" s="8">
        <f>9.7809 * CHOOSE(CONTROL!$C$15, $D$11, 100%, $F$11)</f>
        <v>9.7809000000000008</v>
      </c>
      <c r="J293" s="4">
        <f>9.6529 * CHOOSE(CONTROL!$C$15, $D$11, 100%, $F$11)</f>
        <v>9.6529000000000007</v>
      </c>
      <c r="K293" s="4"/>
      <c r="L293" s="9">
        <v>29.306000000000001</v>
      </c>
      <c r="M293" s="9">
        <v>12.063700000000001</v>
      </c>
      <c r="N293" s="9">
        <v>4.9444999999999997</v>
      </c>
      <c r="O293" s="9">
        <v>0.37409999999999999</v>
      </c>
      <c r="P293" s="9">
        <v>1.2927</v>
      </c>
      <c r="Q293" s="9">
        <v>30.451899999999998</v>
      </c>
      <c r="R293" s="9"/>
      <c r="S293" s="11"/>
    </row>
    <row r="294" spans="1:19" ht="15.75">
      <c r="A294" s="13">
        <v>50464</v>
      </c>
      <c r="B294" s="8">
        <f>9.4324 * CHOOSE(CONTROL!$C$15, $D$11, 100%, $F$11)</f>
        <v>9.4323999999999995</v>
      </c>
      <c r="C294" s="8">
        <f>9.4376 * CHOOSE(CONTROL!$C$15, $D$11, 100%, $F$11)</f>
        <v>9.4375999999999998</v>
      </c>
      <c r="D294" s="8">
        <f>9.42 * CHOOSE( CONTROL!$C$15, $D$11, 100%, $F$11)</f>
        <v>9.42</v>
      </c>
      <c r="E294" s="12">
        <f>9.4259 * CHOOSE( CONTROL!$C$15, $D$11, 100%, $F$11)</f>
        <v>9.4259000000000004</v>
      </c>
      <c r="F294" s="4">
        <f>10.0829 * CHOOSE(CONTROL!$C$15, $D$11, 100%, $F$11)</f>
        <v>10.0829</v>
      </c>
      <c r="G294" s="8">
        <f>9.1988 * CHOOSE( CONTROL!$C$15, $D$11, 100%, $F$11)</f>
        <v>9.1988000000000003</v>
      </c>
      <c r="H294" s="4">
        <f>10.0827 * CHOOSE(CONTROL!$C$15, $D$11, 100%, $F$11)</f>
        <v>10.082700000000001</v>
      </c>
      <c r="I294" s="8">
        <f>9.1564 * CHOOSE(CONTROL!$C$15, $D$11, 100%, $F$11)</f>
        <v>9.1563999999999997</v>
      </c>
      <c r="J294" s="4">
        <f>9.0289 * CHOOSE(CONTROL!$C$15, $D$11, 100%, $F$11)</f>
        <v>9.0289000000000001</v>
      </c>
      <c r="K294" s="4"/>
      <c r="L294" s="9">
        <v>26.469899999999999</v>
      </c>
      <c r="M294" s="9">
        <v>10.8962</v>
      </c>
      <c r="N294" s="9">
        <v>4.4660000000000002</v>
      </c>
      <c r="O294" s="9">
        <v>0.33789999999999998</v>
      </c>
      <c r="P294" s="9">
        <v>1.1676</v>
      </c>
      <c r="Q294" s="9">
        <v>27.504999999999999</v>
      </c>
      <c r="R294" s="9"/>
      <c r="S294" s="11"/>
    </row>
    <row r="295" spans="1:19" ht="15.75">
      <c r="A295" s="13">
        <v>50495</v>
      </c>
      <c r="B295" s="8">
        <f>9.2322 * CHOOSE(CONTROL!$C$15, $D$11, 100%, $F$11)</f>
        <v>9.2322000000000006</v>
      </c>
      <c r="C295" s="8">
        <f>9.2374 * CHOOSE(CONTROL!$C$15, $D$11, 100%, $F$11)</f>
        <v>9.2373999999999992</v>
      </c>
      <c r="D295" s="8">
        <f>9.2194 * CHOOSE( CONTROL!$C$15, $D$11, 100%, $F$11)</f>
        <v>9.2194000000000003</v>
      </c>
      <c r="E295" s="12">
        <f>9.2254 * CHOOSE( CONTROL!$C$15, $D$11, 100%, $F$11)</f>
        <v>9.2254000000000005</v>
      </c>
      <c r="F295" s="4">
        <f>9.8827 * CHOOSE(CONTROL!$C$15, $D$11, 100%, $F$11)</f>
        <v>9.8826999999999998</v>
      </c>
      <c r="G295" s="8">
        <f>9.003 * CHOOSE( CONTROL!$C$15, $D$11, 100%, $F$11)</f>
        <v>9.0030000000000001</v>
      </c>
      <c r="H295" s="4">
        <f>9.8872 * CHOOSE(CONTROL!$C$15, $D$11, 100%, $F$11)</f>
        <v>9.8872</v>
      </c>
      <c r="I295" s="8">
        <f>8.9629 * CHOOSE(CONTROL!$C$15, $D$11, 100%, $F$11)</f>
        <v>8.9628999999999994</v>
      </c>
      <c r="J295" s="4">
        <f>8.8367 * CHOOSE(CONTROL!$C$15, $D$11, 100%, $F$11)</f>
        <v>8.8367000000000004</v>
      </c>
      <c r="K295" s="4"/>
      <c r="L295" s="9">
        <v>29.306000000000001</v>
      </c>
      <c r="M295" s="9">
        <v>12.063700000000001</v>
      </c>
      <c r="N295" s="9">
        <v>4.9444999999999997</v>
      </c>
      <c r="O295" s="9">
        <v>0.37409999999999999</v>
      </c>
      <c r="P295" s="9">
        <v>1.2927</v>
      </c>
      <c r="Q295" s="9">
        <v>30.451899999999998</v>
      </c>
      <c r="R295" s="9"/>
      <c r="S295" s="11"/>
    </row>
    <row r="296" spans="1:19" ht="15.75">
      <c r="A296" s="13">
        <v>50525</v>
      </c>
      <c r="B296" s="8">
        <f>9.3729 * CHOOSE(CONTROL!$C$15, $D$11, 100%, $F$11)</f>
        <v>9.3728999999999996</v>
      </c>
      <c r="C296" s="8">
        <f>9.3775 * CHOOSE(CONTROL!$C$15, $D$11, 100%, $F$11)</f>
        <v>9.3774999999999995</v>
      </c>
      <c r="D296" s="8">
        <f>9.4086 * CHOOSE( CONTROL!$C$15, $D$11, 100%, $F$11)</f>
        <v>9.4085999999999999</v>
      </c>
      <c r="E296" s="12">
        <f>9.3978 * CHOOSE( CONTROL!$C$15, $D$11, 100%, $F$11)</f>
        <v>9.3978000000000002</v>
      </c>
      <c r="F296" s="4">
        <f>10.0866 * CHOOSE(CONTROL!$C$15, $D$11, 100%, $F$11)</f>
        <v>10.086600000000001</v>
      </c>
      <c r="G296" s="8">
        <f>9.1404 * CHOOSE( CONTROL!$C$15, $D$11, 100%, $F$11)</f>
        <v>9.1403999999999996</v>
      </c>
      <c r="H296" s="4">
        <f>10.0864 * CHOOSE(CONTROL!$C$15, $D$11, 100%, $F$11)</f>
        <v>10.086399999999999</v>
      </c>
      <c r="I296" s="8">
        <f>9.0878 * CHOOSE(CONTROL!$C$15, $D$11, 100%, $F$11)</f>
        <v>9.0877999999999997</v>
      </c>
      <c r="J296" s="4">
        <f>8.971 * CHOOSE(CONTROL!$C$15, $D$11, 100%, $F$11)</f>
        <v>8.9710000000000001</v>
      </c>
      <c r="K296" s="4"/>
      <c r="L296" s="9">
        <v>30.092199999999998</v>
      </c>
      <c r="M296" s="9">
        <v>11.6745</v>
      </c>
      <c r="N296" s="9">
        <v>4.7850000000000001</v>
      </c>
      <c r="O296" s="9">
        <v>0.36199999999999999</v>
      </c>
      <c r="P296" s="9">
        <v>1.1791</v>
      </c>
      <c r="Q296" s="9">
        <v>29.4696</v>
      </c>
      <c r="R296" s="9"/>
      <c r="S296" s="11"/>
    </row>
    <row r="297" spans="1:19" ht="15.75">
      <c r="A297" s="13">
        <v>50556</v>
      </c>
      <c r="B297" s="8">
        <f>CHOOSE( CONTROL!$C$32, 9.6288, 9.6232) * CHOOSE(CONTROL!$C$15, $D$11, 100%, $F$11)</f>
        <v>9.6288</v>
      </c>
      <c r="C297" s="8">
        <f>CHOOSE( CONTROL!$C$32, 9.6369, 9.6313) * CHOOSE(CONTROL!$C$15, $D$11, 100%, $F$11)</f>
        <v>9.6369000000000007</v>
      </c>
      <c r="D297" s="8">
        <f>CHOOSE( CONTROL!$C$32, 9.6628, 9.6573) * CHOOSE( CONTROL!$C$15, $D$11, 100%, $F$11)</f>
        <v>9.6628000000000007</v>
      </c>
      <c r="E297" s="12">
        <f>CHOOSE( CONTROL!$C$32, 9.6522, 9.6466) * CHOOSE( CONTROL!$C$15, $D$11, 100%, $F$11)</f>
        <v>9.6522000000000006</v>
      </c>
      <c r="F297" s="4">
        <f>CHOOSE( CONTROL!$C$32, 10.3412, 10.3356) * CHOOSE(CONTROL!$C$15, $D$11, 100%, $F$11)</f>
        <v>10.341200000000001</v>
      </c>
      <c r="G297" s="8">
        <f>CHOOSE( CONTROL!$C$32, 9.3902, 9.3847) * CHOOSE( CONTROL!$C$15, $D$11, 100%, $F$11)</f>
        <v>9.3902000000000001</v>
      </c>
      <c r="H297" s="4">
        <f>CHOOSE( CONTROL!$C$32, 10.335, 10.3296) * CHOOSE(CONTROL!$C$15, $D$11, 100%, $F$11)</f>
        <v>10.335000000000001</v>
      </c>
      <c r="I297" s="8">
        <f>CHOOSE( CONTROL!$C$32, 9.3322, 9.3269) * CHOOSE(CONTROL!$C$15, $D$11, 100%, $F$11)</f>
        <v>9.3322000000000003</v>
      </c>
      <c r="J297" s="4">
        <f>CHOOSE( CONTROL!$C$32, 9.2154, 9.21) * CHOOSE(CONTROL!$C$15, $D$11, 100%, $F$11)</f>
        <v>9.2154000000000007</v>
      </c>
      <c r="K297" s="4"/>
      <c r="L297" s="9">
        <v>30.7165</v>
      </c>
      <c r="M297" s="9">
        <v>12.063700000000001</v>
      </c>
      <c r="N297" s="9">
        <v>4.9444999999999997</v>
      </c>
      <c r="O297" s="9">
        <v>0.37409999999999999</v>
      </c>
      <c r="P297" s="9">
        <v>1.2183999999999999</v>
      </c>
      <c r="Q297" s="9">
        <v>30.451899999999998</v>
      </c>
      <c r="R297" s="9"/>
      <c r="S297" s="11"/>
    </row>
    <row r="298" spans="1:19" ht="15.75">
      <c r="A298" s="13">
        <v>50586</v>
      </c>
      <c r="B298" s="8">
        <f>CHOOSE( CONTROL!$C$32, 9.4745, 9.469) * CHOOSE(CONTROL!$C$15, $D$11, 100%, $F$11)</f>
        <v>9.4745000000000008</v>
      </c>
      <c r="C298" s="8">
        <f>CHOOSE( CONTROL!$C$32, 9.4826, 9.4771) * CHOOSE(CONTROL!$C$15, $D$11, 100%, $F$11)</f>
        <v>9.4825999999999997</v>
      </c>
      <c r="D298" s="8">
        <f>CHOOSE( CONTROL!$C$32, 9.5088, 9.5032) * CHOOSE( CONTROL!$C$15, $D$11, 100%, $F$11)</f>
        <v>9.5088000000000008</v>
      </c>
      <c r="E298" s="12">
        <f>CHOOSE( CONTROL!$C$32, 9.4981, 9.4925) * CHOOSE( CONTROL!$C$15, $D$11, 100%, $F$11)</f>
        <v>9.4981000000000009</v>
      </c>
      <c r="F298" s="4">
        <f>CHOOSE( CONTROL!$C$32, 10.1869, 10.1814) * CHOOSE(CONTROL!$C$15, $D$11, 100%, $F$11)</f>
        <v>10.1869</v>
      </c>
      <c r="G298" s="8">
        <f>CHOOSE( CONTROL!$C$32, 9.2398, 9.2343) * CHOOSE( CONTROL!$C$15, $D$11, 100%, $F$11)</f>
        <v>9.2398000000000007</v>
      </c>
      <c r="H298" s="4">
        <f>CHOOSE( CONTROL!$C$32, 10.1844, 10.1789) * CHOOSE(CONTROL!$C$15, $D$11, 100%, $F$11)</f>
        <v>10.1844</v>
      </c>
      <c r="I298" s="8">
        <f>CHOOSE( CONTROL!$C$32, 9.1849, 9.1795) * CHOOSE(CONTROL!$C$15, $D$11, 100%, $F$11)</f>
        <v>9.1849000000000007</v>
      </c>
      <c r="J298" s="4">
        <f>CHOOSE( CONTROL!$C$32, 9.0673, 9.0619) * CHOOSE(CONTROL!$C$15, $D$11, 100%, $F$11)</f>
        <v>9.0672999999999995</v>
      </c>
      <c r="K298" s="4"/>
      <c r="L298" s="9">
        <v>29.7257</v>
      </c>
      <c r="M298" s="9">
        <v>11.6745</v>
      </c>
      <c r="N298" s="9">
        <v>4.7850000000000001</v>
      </c>
      <c r="O298" s="9">
        <v>0.36199999999999999</v>
      </c>
      <c r="P298" s="9">
        <v>1.1791</v>
      </c>
      <c r="Q298" s="9">
        <v>29.4696</v>
      </c>
      <c r="R298" s="9"/>
      <c r="S298" s="11"/>
    </row>
    <row r="299" spans="1:19" ht="15.75">
      <c r="A299" s="13">
        <v>50617</v>
      </c>
      <c r="B299" s="8">
        <f>CHOOSE( CONTROL!$C$32, 9.8807, 9.8751) * CHOOSE(CONTROL!$C$15, $D$11, 100%, $F$11)</f>
        <v>9.8806999999999992</v>
      </c>
      <c r="C299" s="8">
        <f>CHOOSE( CONTROL!$C$32, 9.8888, 9.8832) * CHOOSE(CONTROL!$C$15, $D$11, 100%, $F$11)</f>
        <v>9.8887999999999998</v>
      </c>
      <c r="D299" s="8">
        <f>CHOOSE( CONTROL!$C$32, 9.9151, 9.9095) * CHOOSE( CONTROL!$C$15, $D$11, 100%, $F$11)</f>
        <v>9.9151000000000007</v>
      </c>
      <c r="E299" s="12">
        <f>CHOOSE( CONTROL!$C$32, 9.9043, 9.8987) * CHOOSE( CONTROL!$C$15, $D$11, 100%, $F$11)</f>
        <v>9.9042999999999992</v>
      </c>
      <c r="F299" s="4">
        <f>CHOOSE( CONTROL!$C$32, 10.5931, 10.5875) * CHOOSE(CONTROL!$C$15, $D$11, 100%, $F$11)</f>
        <v>10.5931</v>
      </c>
      <c r="G299" s="8">
        <f>CHOOSE( CONTROL!$C$32, 9.6368, 9.6313) * CHOOSE( CONTROL!$C$15, $D$11, 100%, $F$11)</f>
        <v>9.6367999999999991</v>
      </c>
      <c r="H299" s="4">
        <f>CHOOSE( CONTROL!$C$32, 10.5811, 10.5756) * CHOOSE(CONTROL!$C$15, $D$11, 100%, $F$11)</f>
        <v>10.581099999999999</v>
      </c>
      <c r="I299" s="8">
        <f>CHOOSE( CONTROL!$C$32, 9.576, 9.5706) * CHOOSE(CONTROL!$C$15, $D$11, 100%, $F$11)</f>
        <v>9.5760000000000005</v>
      </c>
      <c r="J299" s="4">
        <f>CHOOSE( CONTROL!$C$32, 9.4572, 9.4519) * CHOOSE(CONTROL!$C$15, $D$11, 100%, $F$11)</f>
        <v>9.4572000000000003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1.2183999999999999</v>
      </c>
      <c r="Q299" s="9">
        <v>30.451899999999998</v>
      </c>
      <c r="R299" s="9"/>
      <c r="S299" s="11"/>
    </row>
    <row r="300" spans="1:19" ht="15.75">
      <c r="A300" s="13">
        <v>50648</v>
      </c>
      <c r="B300" s="8">
        <f>CHOOSE( CONTROL!$C$32, 9.1208, 9.1152) * CHOOSE(CONTROL!$C$15, $D$11, 100%, $F$11)</f>
        <v>9.1207999999999991</v>
      </c>
      <c r="C300" s="8">
        <f>CHOOSE( CONTROL!$C$32, 9.1288, 9.1233) * CHOOSE(CONTROL!$C$15, $D$11, 100%, $F$11)</f>
        <v>9.1288</v>
      </c>
      <c r="D300" s="8">
        <f>CHOOSE( CONTROL!$C$32, 9.1552, 9.1497) * CHOOSE( CONTROL!$C$15, $D$11, 100%, $F$11)</f>
        <v>9.1552000000000007</v>
      </c>
      <c r="E300" s="12">
        <f>CHOOSE( CONTROL!$C$32, 9.1444, 9.1389) * CHOOSE( CONTROL!$C$15, $D$11, 100%, $F$11)</f>
        <v>9.1443999999999992</v>
      </c>
      <c r="F300" s="4">
        <f>CHOOSE( CONTROL!$C$32, 9.8331, 9.8276) * CHOOSE(CONTROL!$C$15, $D$11, 100%, $F$11)</f>
        <v>9.8331</v>
      </c>
      <c r="G300" s="8">
        <f>CHOOSE( CONTROL!$C$32, 8.8946, 8.8892) * CHOOSE( CONTROL!$C$15, $D$11, 100%, $F$11)</f>
        <v>8.8946000000000005</v>
      </c>
      <c r="H300" s="4">
        <f>CHOOSE( CONTROL!$C$32, 9.8388, 9.8334) * CHOOSE(CONTROL!$C$15, $D$11, 100%, $F$11)</f>
        <v>9.8388000000000009</v>
      </c>
      <c r="I300" s="8">
        <f>CHOOSE( CONTROL!$C$32, 8.8463, 8.8409) * CHOOSE(CONTROL!$C$15, $D$11, 100%, $F$11)</f>
        <v>8.8462999999999994</v>
      </c>
      <c r="J300" s="4">
        <f>CHOOSE( CONTROL!$C$32, 8.7276, 8.7223) * CHOOSE(CONTROL!$C$15, $D$11, 100%, $F$11)</f>
        <v>8.7276000000000007</v>
      </c>
      <c r="K300" s="4"/>
      <c r="L300" s="9">
        <v>30.7165</v>
      </c>
      <c r="M300" s="9">
        <v>12.063700000000001</v>
      </c>
      <c r="N300" s="9">
        <v>4.9444999999999997</v>
      </c>
      <c r="O300" s="9">
        <v>0.37409999999999999</v>
      </c>
      <c r="P300" s="9">
        <v>1.2183999999999999</v>
      </c>
      <c r="Q300" s="9">
        <v>30.451899999999998</v>
      </c>
      <c r="R300" s="9"/>
      <c r="S300" s="11"/>
    </row>
    <row r="301" spans="1:19" ht="15.75">
      <c r="A301" s="13">
        <v>50678</v>
      </c>
      <c r="B301" s="8">
        <f>CHOOSE( CONTROL!$C$32, 8.9305, 8.9249) * CHOOSE(CONTROL!$C$15, $D$11, 100%, $F$11)</f>
        <v>8.9305000000000003</v>
      </c>
      <c r="C301" s="8">
        <f>CHOOSE( CONTROL!$C$32, 8.9385, 8.933) * CHOOSE(CONTROL!$C$15, $D$11, 100%, $F$11)</f>
        <v>8.9384999999999994</v>
      </c>
      <c r="D301" s="8">
        <f>CHOOSE( CONTROL!$C$32, 8.9649, 8.9593) * CHOOSE( CONTROL!$C$15, $D$11, 100%, $F$11)</f>
        <v>8.9649000000000001</v>
      </c>
      <c r="E301" s="12">
        <f>CHOOSE( CONTROL!$C$32, 8.9541, 8.9485) * CHOOSE( CONTROL!$C$15, $D$11, 100%, $F$11)</f>
        <v>8.9541000000000004</v>
      </c>
      <c r="F301" s="4">
        <f>CHOOSE( CONTROL!$C$32, 9.6428, 9.6373) * CHOOSE(CONTROL!$C$15, $D$11, 100%, $F$11)</f>
        <v>9.6427999999999994</v>
      </c>
      <c r="G301" s="8">
        <f>CHOOSE( CONTROL!$C$32, 8.7087, 8.7032) * CHOOSE( CONTROL!$C$15, $D$11, 100%, $F$11)</f>
        <v>8.7087000000000003</v>
      </c>
      <c r="H301" s="4">
        <f>CHOOSE( CONTROL!$C$32, 9.653, 9.6475) * CHOOSE(CONTROL!$C$15, $D$11, 100%, $F$11)</f>
        <v>9.6530000000000005</v>
      </c>
      <c r="I301" s="8">
        <f>CHOOSE( CONTROL!$C$32, 8.6633, 8.6579) * CHOOSE(CONTROL!$C$15, $D$11, 100%, $F$11)</f>
        <v>8.6632999999999996</v>
      </c>
      <c r="J301" s="4">
        <f>CHOOSE( CONTROL!$C$32, 8.5449, 8.5396) * CHOOSE(CONTROL!$C$15, $D$11, 100%, $F$11)</f>
        <v>8.5449000000000002</v>
      </c>
      <c r="K301" s="4"/>
      <c r="L301" s="9">
        <v>29.7257</v>
      </c>
      <c r="M301" s="9">
        <v>11.6745</v>
      </c>
      <c r="N301" s="9">
        <v>4.7850000000000001</v>
      </c>
      <c r="O301" s="9">
        <v>0.36199999999999999</v>
      </c>
      <c r="P301" s="9">
        <v>1.1791</v>
      </c>
      <c r="Q301" s="9">
        <v>29.4696</v>
      </c>
      <c r="R301" s="9"/>
      <c r="S301" s="11"/>
    </row>
    <row r="302" spans="1:19" ht="15.75">
      <c r="A302" s="13">
        <v>50709</v>
      </c>
      <c r="B302" s="8">
        <f>9.3183 * CHOOSE(CONTROL!$C$15, $D$11, 100%, $F$11)</f>
        <v>9.3183000000000007</v>
      </c>
      <c r="C302" s="8">
        <f>9.3237 * CHOOSE(CONTROL!$C$15, $D$11, 100%, $F$11)</f>
        <v>9.3237000000000005</v>
      </c>
      <c r="D302" s="8">
        <f>9.3549 * CHOOSE( CONTROL!$C$15, $D$11, 100%, $F$11)</f>
        <v>9.3549000000000007</v>
      </c>
      <c r="E302" s="12">
        <f>9.344 * CHOOSE( CONTROL!$C$15, $D$11, 100%, $F$11)</f>
        <v>9.3439999999999994</v>
      </c>
      <c r="F302" s="4">
        <f>10.0324 * CHOOSE(CONTROL!$C$15, $D$11, 100%, $F$11)</f>
        <v>10.032400000000001</v>
      </c>
      <c r="G302" s="8">
        <f>9.0883 * CHOOSE( CONTROL!$C$15, $D$11, 100%, $F$11)</f>
        <v>9.0883000000000003</v>
      </c>
      <c r="H302" s="4">
        <f>10.0334 * CHOOSE(CONTROL!$C$15, $D$11, 100%, $F$11)</f>
        <v>10.0334</v>
      </c>
      <c r="I302" s="8">
        <f>9.0383 * CHOOSE(CONTROL!$C$15, $D$11, 100%, $F$11)</f>
        <v>9.0382999999999996</v>
      </c>
      <c r="J302" s="4">
        <f>8.9189 * CHOOSE(CONTROL!$C$15, $D$11, 100%, $F$11)</f>
        <v>8.9189000000000007</v>
      </c>
      <c r="K302" s="4"/>
      <c r="L302" s="9">
        <v>31.095300000000002</v>
      </c>
      <c r="M302" s="9">
        <v>12.063700000000001</v>
      </c>
      <c r="N302" s="9">
        <v>4.9444999999999997</v>
      </c>
      <c r="O302" s="9">
        <v>0.37409999999999999</v>
      </c>
      <c r="P302" s="9">
        <v>1.2183999999999999</v>
      </c>
      <c r="Q302" s="9">
        <v>30.451899999999998</v>
      </c>
      <c r="R302" s="9"/>
      <c r="S302" s="11"/>
    </row>
    <row r="303" spans="1:19" ht="15.75">
      <c r="A303" s="13">
        <v>50739</v>
      </c>
      <c r="B303" s="8">
        <f>10.0472 * CHOOSE(CONTROL!$C$15, $D$11, 100%, $F$11)</f>
        <v>10.0472</v>
      </c>
      <c r="C303" s="8">
        <f>10.0524 * CHOOSE(CONTROL!$C$15, $D$11, 100%, $F$11)</f>
        <v>10.0524</v>
      </c>
      <c r="D303" s="8">
        <f>10.0386 * CHOOSE( CONTROL!$C$15, $D$11, 100%, $F$11)</f>
        <v>10.038600000000001</v>
      </c>
      <c r="E303" s="12">
        <f>10.0431 * CHOOSE( CONTROL!$C$15, $D$11, 100%, $F$11)</f>
        <v>10.043100000000001</v>
      </c>
      <c r="F303" s="4">
        <f>10.6977 * CHOOSE(CONTROL!$C$15, $D$11, 100%, $F$11)</f>
        <v>10.697699999999999</v>
      </c>
      <c r="G303" s="8">
        <f>9.8082 * CHOOSE( CONTROL!$C$15, $D$11, 100%, $F$11)</f>
        <v>9.8081999999999994</v>
      </c>
      <c r="H303" s="4">
        <f>10.6832 * CHOOSE(CONTROL!$C$15, $D$11, 100%, $F$11)</f>
        <v>10.683199999999999</v>
      </c>
      <c r="I303" s="8">
        <f>9.7825 * CHOOSE(CONTROL!$C$15, $D$11, 100%, $F$11)</f>
        <v>9.7825000000000006</v>
      </c>
      <c r="J303" s="4">
        <f>9.6191 * CHOOSE(CONTROL!$C$15, $D$11, 100%, $F$11)</f>
        <v>9.6190999999999995</v>
      </c>
      <c r="K303" s="4"/>
      <c r="L303" s="9">
        <v>28.360600000000002</v>
      </c>
      <c r="M303" s="9">
        <v>11.6745</v>
      </c>
      <c r="N303" s="9">
        <v>4.7850000000000001</v>
      </c>
      <c r="O303" s="9">
        <v>0.36199999999999999</v>
      </c>
      <c r="P303" s="9">
        <v>1.2509999999999999</v>
      </c>
      <c r="Q303" s="9">
        <v>29.4696</v>
      </c>
      <c r="R303" s="9"/>
      <c r="S303" s="11"/>
    </row>
    <row r="304" spans="1:19" ht="15.75">
      <c r="A304" s="13">
        <v>50770</v>
      </c>
      <c r="B304" s="8">
        <f>10.029 * CHOOSE(CONTROL!$C$15, $D$11, 100%, $F$11)</f>
        <v>10.029</v>
      </c>
      <c r="C304" s="8">
        <f>10.0342 * CHOOSE(CONTROL!$C$15, $D$11, 100%, $F$11)</f>
        <v>10.0342</v>
      </c>
      <c r="D304" s="8">
        <f>10.0219 * CHOOSE( CONTROL!$C$15, $D$11, 100%, $F$11)</f>
        <v>10.0219</v>
      </c>
      <c r="E304" s="12">
        <f>10.0258 * CHOOSE( CONTROL!$C$15, $D$11, 100%, $F$11)</f>
        <v>10.0258</v>
      </c>
      <c r="F304" s="4">
        <f>10.6794 * CHOOSE(CONTROL!$C$15, $D$11, 100%, $F$11)</f>
        <v>10.679399999999999</v>
      </c>
      <c r="G304" s="8">
        <f>9.7915 * CHOOSE( CONTROL!$C$15, $D$11, 100%, $F$11)</f>
        <v>9.7914999999999992</v>
      </c>
      <c r="H304" s="4">
        <f>10.6654 * CHOOSE(CONTROL!$C$15, $D$11, 100%, $F$11)</f>
        <v>10.6654</v>
      </c>
      <c r="I304" s="8">
        <f>9.7698 * CHOOSE(CONTROL!$C$15, $D$11, 100%, $F$11)</f>
        <v>9.7698</v>
      </c>
      <c r="J304" s="4">
        <f>9.6016 * CHOOSE(CONTROL!$C$15, $D$11, 100%, $F$11)</f>
        <v>9.6015999999999995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30.451899999999998</v>
      </c>
      <c r="R304" s="9"/>
      <c r="S304" s="11"/>
    </row>
    <row r="305" spans="1:19" ht="15.75">
      <c r="A305" s="13">
        <v>50801</v>
      </c>
      <c r="B305" s="8">
        <f>10.4112 * CHOOSE(CONTROL!$C$15, $D$11, 100%, $F$11)</f>
        <v>10.411199999999999</v>
      </c>
      <c r="C305" s="8">
        <f>10.4164 * CHOOSE(CONTROL!$C$15, $D$11, 100%, $F$11)</f>
        <v>10.416399999999999</v>
      </c>
      <c r="D305" s="8">
        <f>10.3988 * CHOOSE( CONTROL!$C$15, $D$11, 100%, $F$11)</f>
        <v>10.3988</v>
      </c>
      <c r="E305" s="12">
        <f>10.4047 * CHOOSE( CONTROL!$C$15, $D$11, 100%, $F$11)</f>
        <v>10.4047</v>
      </c>
      <c r="F305" s="4">
        <f>11.0617 * CHOOSE(CONTROL!$C$15, $D$11, 100%, $F$11)</f>
        <v>11.0617</v>
      </c>
      <c r="G305" s="8">
        <f>10.1548 * CHOOSE( CONTROL!$C$15, $D$11, 100%, $F$11)</f>
        <v>10.1548</v>
      </c>
      <c r="H305" s="4">
        <f>11.0387 * CHOOSE(CONTROL!$C$15, $D$11, 100%, $F$11)</f>
        <v>11.0387</v>
      </c>
      <c r="I305" s="8">
        <f>10.0968 * CHOOSE(CONTROL!$C$15, $D$11, 100%, $F$11)</f>
        <v>10.0968</v>
      </c>
      <c r="J305" s="4">
        <f>9.9686 * CHOOSE(CONTROL!$C$15, $D$11, 100%, $F$11)</f>
        <v>9.9686000000000003</v>
      </c>
      <c r="K305" s="4"/>
      <c r="L305" s="9">
        <v>29.306000000000001</v>
      </c>
      <c r="M305" s="9">
        <v>12.063700000000001</v>
      </c>
      <c r="N305" s="9">
        <v>4.9444999999999997</v>
      </c>
      <c r="O305" s="9">
        <v>0.37409999999999999</v>
      </c>
      <c r="P305" s="9">
        <v>1.2927</v>
      </c>
      <c r="Q305" s="9">
        <v>30.386800000000001</v>
      </c>
      <c r="R305" s="9"/>
      <c r="S305" s="11"/>
    </row>
    <row r="306" spans="1:19" ht="15.75">
      <c r="A306" s="13">
        <v>50829</v>
      </c>
      <c r="B306" s="8">
        <f>9.74 * CHOOSE(CONTROL!$C$15, $D$11, 100%, $F$11)</f>
        <v>9.74</v>
      </c>
      <c r="C306" s="8">
        <f>9.7451 * CHOOSE(CONTROL!$C$15, $D$11, 100%, $F$11)</f>
        <v>9.7451000000000008</v>
      </c>
      <c r="D306" s="8">
        <f>9.7275 * CHOOSE( CONTROL!$C$15, $D$11, 100%, $F$11)</f>
        <v>9.7274999999999991</v>
      </c>
      <c r="E306" s="12">
        <f>9.7334 * CHOOSE( CONTROL!$C$15, $D$11, 100%, $F$11)</f>
        <v>9.7333999999999996</v>
      </c>
      <c r="F306" s="4">
        <f>10.3904 * CHOOSE(CONTROL!$C$15, $D$11, 100%, $F$11)</f>
        <v>10.3904</v>
      </c>
      <c r="G306" s="8">
        <f>9.4991 * CHOOSE( CONTROL!$C$15, $D$11, 100%, $F$11)</f>
        <v>9.4991000000000003</v>
      </c>
      <c r="H306" s="4">
        <f>10.3831 * CHOOSE(CONTROL!$C$15, $D$11, 100%, $F$11)</f>
        <v>10.383100000000001</v>
      </c>
      <c r="I306" s="8">
        <f>9.4518 * CHOOSE(CONTROL!$C$15, $D$11, 100%, $F$11)</f>
        <v>9.4518000000000004</v>
      </c>
      <c r="J306" s="4">
        <f>9.3242 * CHOOSE(CONTROL!$C$15, $D$11, 100%, $F$11)</f>
        <v>9.3241999999999994</v>
      </c>
      <c r="K306" s="4"/>
      <c r="L306" s="9">
        <v>26.469899999999999</v>
      </c>
      <c r="M306" s="9">
        <v>10.8962</v>
      </c>
      <c r="N306" s="9">
        <v>4.4660000000000002</v>
      </c>
      <c r="O306" s="9">
        <v>0.33789999999999998</v>
      </c>
      <c r="P306" s="9">
        <v>1.1676</v>
      </c>
      <c r="Q306" s="9">
        <v>27.446200000000001</v>
      </c>
      <c r="R306" s="9"/>
      <c r="S306" s="11"/>
    </row>
    <row r="307" spans="1:19" ht="15.75">
      <c r="A307" s="13">
        <v>50860</v>
      </c>
      <c r="B307" s="8">
        <f>9.5332 * CHOOSE(CONTROL!$C$15, $D$11, 100%, $F$11)</f>
        <v>9.5332000000000008</v>
      </c>
      <c r="C307" s="8">
        <f>9.5384 * CHOOSE(CONTROL!$C$15, $D$11, 100%, $F$11)</f>
        <v>9.5383999999999993</v>
      </c>
      <c r="D307" s="8">
        <f>9.5204 * CHOOSE( CONTROL!$C$15, $D$11, 100%, $F$11)</f>
        <v>9.5204000000000004</v>
      </c>
      <c r="E307" s="12">
        <f>9.5264 * CHOOSE( CONTROL!$C$15, $D$11, 100%, $F$11)</f>
        <v>9.5264000000000006</v>
      </c>
      <c r="F307" s="4">
        <f>10.1837 * CHOOSE(CONTROL!$C$15, $D$11, 100%, $F$11)</f>
        <v>10.1837</v>
      </c>
      <c r="G307" s="8">
        <f>9.2969 * CHOOSE( CONTROL!$C$15, $D$11, 100%, $F$11)</f>
        <v>9.2969000000000008</v>
      </c>
      <c r="H307" s="4">
        <f>10.1812 * CHOOSE(CONTROL!$C$15, $D$11, 100%, $F$11)</f>
        <v>10.1812</v>
      </c>
      <c r="I307" s="8">
        <f>9.2521 * CHOOSE(CONTROL!$C$15, $D$11, 100%, $F$11)</f>
        <v>9.2521000000000004</v>
      </c>
      <c r="J307" s="4">
        <f>9.1257 * CHOOSE(CONTROL!$C$15, $D$11, 100%, $F$11)</f>
        <v>9.1257000000000001</v>
      </c>
      <c r="K307" s="4"/>
      <c r="L307" s="9">
        <v>29.306000000000001</v>
      </c>
      <c r="M307" s="9">
        <v>12.063700000000001</v>
      </c>
      <c r="N307" s="9">
        <v>4.9444999999999997</v>
      </c>
      <c r="O307" s="9">
        <v>0.37409999999999999</v>
      </c>
      <c r="P307" s="9">
        <v>1.2927</v>
      </c>
      <c r="Q307" s="9">
        <v>30.386800000000001</v>
      </c>
      <c r="R307" s="9"/>
      <c r="S307" s="11"/>
    </row>
    <row r="308" spans="1:19" ht="15.75">
      <c r="A308" s="13">
        <v>50890</v>
      </c>
      <c r="B308" s="8">
        <f>9.6784 * CHOOSE(CONTROL!$C$15, $D$11, 100%, $F$11)</f>
        <v>9.6783999999999999</v>
      </c>
      <c r="C308" s="8">
        <f>9.6831 * CHOOSE(CONTROL!$C$15, $D$11, 100%, $F$11)</f>
        <v>9.6830999999999996</v>
      </c>
      <c r="D308" s="8">
        <f>9.7142 * CHOOSE( CONTROL!$C$15, $D$11, 100%, $F$11)</f>
        <v>9.7141999999999999</v>
      </c>
      <c r="E308" s="12">
        <f>9.7034 * CHOOSE( CONTROL!$C$15, $D$11, 100%, $F$11)</f>
        <v>9.7034000000000002</v>
      </c>
      <c r="F308" s="4">
        <f>10.3922 * CHOOSE(CONTROL!$C$15, $D$11, 100%, $F$11)</f>
        <v>10.392200000000001</v>
      </c>
      <c r="G308" s="8">
        <f>9.4389 * CHOOSE( CONTROL!$C$15, $D$11, 100%, $F$11)</f>
        <v>9.4389000000000003</v>
      </c>
      <c r="H308" s="4">
        <f>10.3849 * CHOOSE(CONTROL!$C$15, $D$11, 100%, $F$11)</f>
        <v>10.3849</v>
      </c>
      <c r="I308" s="8">
        <f>9.3813 * CHOOSE(CONTROL!$C$15, $D$11, 100%, $F$11)</f>
        <v>9.3812999999999995</v>
      </c>
      <c r="J308" s="4">
        <f>9.2644 * CHOOSE(CONTROL!$C$15, $D$11, 100%, $F$11)</f>
        <v>9.2644000000000002</v>
      </c>
      <c r="K308" s="4"/>
      <c r="L308" s="9">
        <v>30.092199999999998</v>
      </c>
      <c r="M308" s="9">
        <v>11.6745</v>
      </c>
      <c r="N308" s="9">
        <v>4.7850000000000001</v>
      </c>
      <c r="O308" s="9">
        <v>0.36199999999999999</v>
      </c>
      <c r="P308" s="9">
        <v>1.1791</v>
      </c>
      <c r="Q308" s="9">
        <v>29.406600000000001</v>
      </c>
      <c r="R308" s="9"/>
      <c r="S308" s="11"/>
    </row>
    <row r="309" spans="1:19" ht="15.75">
      <c r="A309" s="13">
        <v>50921</v>
      </c>
      <c r="B309" s="8">
        <f>CHOOSE( CONTROL!$C$32, 9.9425, 9.9369) * CHOOSE(CONTROL!$C$15, $D$11, 100%, $F$11)</f>
        <v>9.9425000000000008</v>
      </c>
      <c r="C309" s="8">
        <f>CHOOSE( CONTROL!$C$32, 9.9506, 9.945) * CHOOSE(CONTROL!$C$15, $D$11, 100%, $F$11)</f>
        <v>9.9505999999999997</v>
      </c>
      <c r="D309" s="8">
        <f>CHOOSE( CONTROL!$C$32, 9.9765, 9.971) * CHOOSE( CONTROL!$C$15, $D$11, 100%, $F$11)</f>
        <v>9.9764999999999997</v>
      </c>
      <c r="E309" s="12">
        <f>CHOOSE( CONTROL!$C$32, 9.9659, 9.9603) * CHOOSE( CONTROL!$C$15, $D$11, 100%, $F$11)</f>
        <v>9.9658999999999995</v>
      </c>
      <c r="F309" s="4">
        <f>CHOOSE( CONTROL!$C$32, 10.6549, 10.6493) * CHOOSE(CONTROL!$C$15, $D$11, 100%, $F$11)</f>
        <v>10.6549</v>
      </c>
      <c r="G309" s="8">
        <f>CHOOSE( CONTROL!$C$32, 9.6966, 9.6911) * CHOOSE( CONTROL!$C$15, $D$11, 100%, $F$11)</f>
        <v>9.6966000000000001</v>
      </c>
      <c r="H309" s="4">
        <f>CHOOSE( CONTROL!$C$32, 10.6414, 10.636) * CHOOSE(CONTROL!$C$15, $D$11, 100%, $F$11)</f>
        <v>10.641400000000001</v>
      </c>
      <c r="I309" s="8">
        <f>CHOOSE( CONTROL!$C$32, 9.6336, 9.6282) * CHOOSE(CONTROL!$C$15, $D$11, 100%, $F$11)</f>
        <v>9.6335999999999995</v>
      </c>
      <c r="J309" s="4">
        <f>CHOOSE( CONTROL!$C$32, 9.5166, 9.5112) * CHOOSE(CONTROL!$C$15, $D$11, 100%, $F$11)</f>
        <v>9.5166000000000004</v>
      </c>
      <c r="K309" s="4"/>
      <c r="L309" s="9">
        <v>30.7165</v>
      </c>
      <c r="M309" s="9">
        <v>12.063700000000001</v>
      </c>
      <c r="N309" s="9">
        <v>4.9444999999999997</v>
      </c>
      <c r="O309" s="9">
        <v>0.37409999999999999</v>
      </c>
      <c r="P309" s="9">
        <v>1.2183999999999999</v>
      </c>
      <c r="Q309" s="9">
        <v>30.386800000000001</v>
      </c>
      <c r="R309" s="9"/>
      <c r="S309" s="11"/>
    </row>
    <row r="310" spans="1:19" ht="15.75">
      <c r="A310" s="13">
        <v>50951</v>
      </c>
      <c r="B310" s="8">
        <f>CHOOSE( CONTROL!$C$32, 9.7832, 9.7777) * CHOOSE(CONTROL!$C$15, $D$11, 100%, $F$11)</f>
        <v>9.7832000000000008</v>
      </c>
      <c r="C310" s="8">
        <f>CHOOSE( CONTROL!$C$32, 9.7913, 9.7857) * CHOOSE(CONTROL!$C$15, $D$11, 100%, $F$11)</f>
        <v>9.7912999999999997</v>
      </c>
      <c r="D310" s="8">
        <f>CHOOSE( CONTROL!$C$32, 9.8174, 9.8119) * CHOOSE( CONTROL!$C$15, $D$11, 100%, $F$11)</f>
        <v>9.8173999999999992</v>
      </c>
      <c r="E310" s="12">
        <f>CHOOSE( CONTROL!$C$32, 9.8067, 9.8012) * CHOOSE( CONTROL!$C$15, $D$11, 100%, $F$11)</f>
        <v>9.8066999999999993</v>
      </c>
      <c r="F310" s="4">
        <f>CHOOSE( CONTROL!$C$32, 10.4956, 10.49) * CHOOSE(CONTROL!$C$15, $D$11, 100%, $F$11)</f>
        <v>10.4956</v>
      </c>
      <c r="G310" s="8">
        <f>CHOOSE( CONTROL!$C$32, 9.5413, 9.5358) * CHOOSE( CONTROL!$C$15, $D$11, 100%, $F$11)</f>
        <v>9.5412999999999997</v>
      </c>
      <c r="H310" s="4">
        <f>CHOOSE( CONTROL!$C$32, 10.4859, 10.4804) * CHOOSE(CONTROL!$C$15, $D$11, 100%, $F$11)</f>
        <v>10.485900000000001</v>
      </c>
      <c r="I310" s="8">
        <f>CHOOSE( CONTROL!$C$32, 9.4814, 9.4761) * CHOOSE(CONTROL!$C$15, $D$11, 100%, $F$11)</f>
        <v>9.4814000000000007</v>
      </c>
      <c r="J310" s="4">
        <f>CHOOSE( CONTROL!$C$32, 9.3636, 9.3583) * CHOOSE(CONTROL!$C$15, $D$11, 100%, $F$11)</f>
        <v>9.3635999999999999</v>
      </c>
      <c r="K310" s="4"/>
      <c r="L310" s="9">
        <v>29.7257</v>
      </c>
      <c r="M310" s="9">
        <v>11.6745</v>
      </c>
      <c r="N310" s="9">
        <v>4.7850000000000001</v>
      </c>
      <c r="O310" s="9">
        <v>0.36199999999999999</v>
      </c>
      <c r="P310" s="9">
        <v>1.1791</v>
      </c>
      <c r="Q310" s="9">
        <v>29.406600000000001</v>
      </c>
      <c r="R310" s="9"/>
      <c r="S310" s="11"/>
    </row>
    <row r="311" spans="1:19" ht="15.75">
      <c r="A311" s="13">
        <v>50982</v>
      </c>
      <c r="B311" s="8">
        <f>CHOOSE( CONTROL!$C$32, 10.2026, 10.1971) * CHOOSE(CONTROL!$C$15, $D$11, 100%, $F$11)</f>
        <v>10.2026</v>
      </c>
      <c r="C311" s="8">
        <f>CHOOSE( CONTROL!$C$32, 10.2107, 10.2052) * CHOOSE(CONTROL!$C$15, $D$11, 100%, $F$11)</f>
        <v>10.210699999999999</v>
      </c>
      <c r="D311" s="8">
        <f>CHOOSE( CONTROL!$C$32, 10.2371, 10.2315) * CHOOSE( CONTROL!$C$15, $D$11, 100%, $F$11)</f>
        <v>10.2371</v>
      </c>
      <c r="E311" s="12">
        <f>CHOOSE( CONTROL!$C$32, 10.2263, 10.2207) * CHOOSE( CONTROL!$C$15, $D$11, 100%, $F$11)</f>
        <v>10.2263</v>
      </c>
      <c r="F311" s="4">
        <f>CHOOSE( CONTROL!$C$32, 10.915, 10.9095) * CHOOSE(CONTROL!$C$15, $D$11, 100%, $F$11)</f>
        <v>10.914999999999999</v>
      </c>
      <c r="G311" s="8">
        <f>CHOOSE( CONTROL!$C$32, 9.9512, 9.9458) * CHOOSE( CONTROL!$C$15, $D$11, 100%, $F$11)</f>
        <v>9.9512</v>
      </c>
      <c r="H311" s="4">
        <f>CHOOSE( CONTROL!$C$32, 10.8955, 10.8901) * CHOOSE(CONTROL!$C$15, $D$11, 100%, $F$11)</f>
        <v>10.8955</v>
      </c>
      <c r="I311" s="8">
        <f>CHOOSE( CONTROL!$C$32, 9.8852, 9.8799) * CHOOSE(CONTROL!$C$15, $D$11, 100%, $F$11)</f>
        <v>9.8851999999999993</v>
      </c>
      <c r="J311" s="4">
        <f>CHOOSE( CONTROL!$C$32, 9.7663, 9.761) * CHOOSE(CONTROL!$C$15, $D$11, 100%, $F$11)</f>
        <v>9.7662999999999993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1.2183999999999999</v>
      </c>
      <c r="Q311" s="9">
        <v>30.386800000000001</v>
      </c>
      <c r="R311" s="9"/>
      <c r="S311" s="11"/>
    </row>
    <row r="312" spans="1:19" ht="15.75">
      <c r="A312" s="13">
        <v>51013</v>
      </c>
      <c r="B312" s="8">
        <f>CHOOSE( CONTROL!$C$32, 9.4179, 9.4123) * CHOOSE(CONTROL!$C$15, $D$11, 100%, $F$11)</f>
        <v>9.4178999999999995</v>
      </c>
      <c r="C312" s="8">
        <f>CHOOSE( CONTROL!$C$32, 9.4259, 9.4204) * CHOOSE(CONTROL!$C$15, $D$11, 100%, $F$11)</f>
        <v>9.4259000000000004</v>
      </c>
      <c r="D312" s="8">
        <f>CHOOSE( CONTROL!$C$32, 9.4523, 9.4468) * CHOOSE( CONTROL!$C$15, $D$11, 100%, $F$11)</f>
        <v>9.4522999999999993</v>
      </c>
      <c r="E312" s="12">
        <f>CHOOSE( CONTROL!$C$32, 9.4415, 9.436) * CHOOSE( CONTROL!$C$15, $D$11, 100%, $F$11)</f>
        <v>9.4414999999999996</v>
      </c>
      <c r="F312" s="4">
        <f>CHOOSE( CONTROL!$C$32, 10.1302, 10.1247) * CHOOSE(CONTROL!$C$15, $D$11, 100%, $F$11)</f>
        <v>10.1302</v>
      </c>
      <c r="G312" s="8">
        <f>CHOOSE( CONTROL!$C$32, 9.1848, 9.1794) * CHOOSE( CONTROL!$C$15, $D$11, 100%, $F$11)</f>
        <v>9.1847999999999992</v>
      </c>
      <c r="H312" s="4">
        <f>CHOOSE( CONTROL!$C$32, 10.129, 10.1236) * CHOOSE(CONTROL!$C$15, $D$11, 100%, $F$11)</f>
        <v>10.129</v>
      </c>
      <c r="I312" s="8">
        <f>CHOOSE( CONTROL!$C$32, 9.1317, 9.1263) * CHOOSE(CONTROL!$C$15, $D$11, 100%, $F$11)</f>
        <v>9.1317000000000004</v>
      </c>
      <c r="J312" s="4">
        <f>CHOOSE( CONTROL!$C$32, 9.0129, 9.0075) * CHOOSE(CONTROL!$C$15, $D$11, 100%, $F$11)</f>
        <v>9.0129000000000001</v>
      </c>
      <c r="K312" s="4"/>
      <c r="L312" s="9">
        <v>30.7165</v>
      </c>
      <c r="M312" s="9">
        <v>12.063700000000001</v>
      </c>
      <c r="N312" s="9">
        <v>4.9444999999999997</v>
      </c>
      <c r="O312" s="9">
        <v>0.37409999999999999</v>
      </c>
      <c r="P312" s="9">
        <v>1.2183999999999999</v>
      </c>
      <c r="Q312" s="9">
        <v>30.386800000000001</v>
      </c>
      <c r="R312" s="9"/>
      <c r="S312" s="11"/>
    </row>
    <row r="313" spans="1:19" ht="15.75">
      <c r="A313" s="13">
        <v>51043</v>
      </c>
      <c r="B313" s="8">
        <f>CHOOSE( CONTROL!$C$32, 9.2213, 9.2158) * CHOOSE(CONTROL!$C$15, $D$11, 100%, $F$11)</f>
        <v>9.2212999999999994</v>
      </c>
      <c r="C313" s="8">
        <f>CHOOSE( CONTROL!$C$32, 9.2294, 9.2239) * CHOOSE(CONTROL!$C$15, $D$11, 100%, $F$11)</f>
        <v>9.2294</v>
      </c>
      <c r="D313" s="8">
        <f>CHOOSE( CONTROL!$C$32, 9.2558, 9.2502) * CHOOSE( CONTROL!$C$15, $D$11, 100%, $F$11)</f>
        <v>9.2558000000000007</v>
      </c>
      <c r="E313" s="12">
        <f>CHOOSE( CONTROL!$C$32, 9.245, 9.2394) * CHOOSE( CONTROL!$C$15, $D$11, 100%, $F$11)</f>
        <v>9.2449999999999992</v>
      </c>
      <c r="F313" s="4">
        <f>CHOOSE( CONTROL!$C$32, 9.9337, 9.9282) * CHOOSE(CONTROL!$C$15, $D$11, 100%, $F$11)</f>
        <v>9.9337</v>
      </c>
      <c r="G313" s="8">
        <f>CHOOSE( CONTROL!$C$32, 8.9928, 8.9873) * CHOOSE( CONTROL!$C$15, $D$11, 100%, $F$11)</f>
        <v>8.9928000000000008</v>
      </c>
      <c r="H313" s="4">
        <f>CHOOSE( CONTROL!$C$32, 9.9371, 9.9316) * CHOOSE(CONTROL!$C$15, $D$11, 100%, $F$11)</f>
        <v>9.9370999999999992</v>
      </c>
      <c r="I313" s="8">
        <f>CHOOSE( CONTROL!$C$32, 8.9427, 8.9373) * CHOOSE(CONTROL!$C$15, $D$11, 100%, $F$11)</f>
        <v>8.9427000000000003</v>
      </c>
      <c r="J313" s="4">
        <f>CHOOSE( CONTROL!$C$32, 8.8242, 8.8188) * CHOOSE(CONTROL!$C$15, $D$11, 100%, $F$11)</f>
        <v>8.8241999999999994</v>
      </c>
      <c r="K313" s="4"/>
      <c r="L313" s="9">
        <v>29.7257</v>
      </c>
      <c r="M313" s="9">
        <v>11.6745</v>
      </c>
      <c r="N313" s="9">
        <v>4.7850000000000001</v>
      </c>
      <c r="O313" s="9">
        <v>0.36199999999999999</v>
      </c>
      <c r="P313" s="9">
        <v>1.1791</v>
      </c>
      <c r="Q313" s="9">
        <v>29.406600000000001</v>
      </c>
      <c r="R313" s="9"/>
      <c r="S313" s="11"/>
    </row>
    <row r="314" spans="1:19" ht="15.75">
      <c r="A314" s="13">
        <v>51074</v>
      </c>
      <c r="B314" s="8">
        <f>9.6221 * CHOOSE(CONTROL!$C$15, $D$11, 100%, $F$11)</f>
        <v>9.6220999999999997</v>
      </c>
      <c r="C314" s="8">
        <f>9.6275 * CHOOSE(CONTROL!$C$15, $D$11, 100%, $F$11)</f>
        <v>9.6274999999999995</v>
      </c>
      <c r="D314" s="8">
        <f>9.6587 * CHOOSE( CONTROL!$C$15, $D$11, 100%, $F$11)</f>
        <v>9.6586999999999996</v>
      </c>
      <c r="E314" s="12">
        <f>9.6478 * CHOOSE( CONTROL!$C$15, $D$11, 100%, $F$11)</f>
        <v>9.6478000000000002</v>
      </c>
      <c r="F314" s="4">
        <f>10.3362 * CHOOSE(CONTROL!$C$15, $D$11, 100%, $F$11)</f>
        <v>10.3362</v>
      </c>
      <c r="G314" s="8">
        <f>9.385 * CHOOSE( CONTROL!$C$15, $D$11, 100%, $F$11)</f>
        <v>9.3849999999999998</v>
      </c>
      <c r="H314" s="4">
        <f>10.3302 * CHOOSE(CONTROL!$C$15, $D$11, 100%, $F$11)</f>
        <v>10.3302</v>
      </c>
      <c r="I314" s="8">
        <f>9.3302 * CHOOSE(CONTROL!$C$15, $D$11, 100%, $F$11)</f>
        <v>9.3301999999999996</v>
      </c>
      <c r="J314" s="4">
        <f>9.2106 * CHOOSE(CONTROL!$C$15, $D$11, 100%, $F$11)</f>
        <v>9.2105999999999995</v>
      </c>
      <c r="K314" s="4"/>
      <c r="L314" s="9">
        <v>31.095300000000002</v>
      </c>
      <c r="M314" s="9">
        <v>12.063700000000001</v>
      </c>
      <c r="N314" s="9">
        <v>4.9444999999999997</v>
      </c>
      <c r="O314" s="9">
        <v>0.37409999999999999</v>
      </c>
      <c r="P314" s="9">
        <v>1.2183999999999999</v>
      </c>
      <c r="Q314" s="9">
        <v>30.386800000000001</v>
      </c>
      <c r="R314" s="9"/>
      <c r="S314" s="11"/>
    </row>
    <row r="315" spans="1:19" ht="15.75">
      <c r="A315" s="13">
        <v>51104</v>
      </c>
      <c r="B315" s="8">
        <f>10.3748 * CHOOSE(CONTROL!$C$15, $D$11, 100%, $F$11)</f>
        <v>10.3748</v>
      </c>
      <c r="C315" s="8">
        <f>10.38 * CHOOSE(CONTROL!$C$15, $D$11, 100%, $F$11)</f>
        <v>10.38</v>
      </c>
      <c r="D315" s="8">
        <f>10.3663 * CHOOSE( CONTROL!$C$15, $D$11, 100%, $F$11)</f>
        <v>10.366300000000001</v>
      </c>
      <c r="E315" s="12">
        <f>10.3708 * CHOOSE( CONTROL!$C$15, $D$11, 100%, $F$11)</f>
        <v>10.370799999999999</v>
      </c>
      <c r="F315" s="4">
        <f>11.0253 * CHOOSE(CONTROL!$C$15, $D$11, 100%, $F$11)</f>
        <v>11.0253</v>
      </c>
      <c r="G315" s="8">
        <f>10.1282 * CHOOSE( CONTROL!$C$15, $D$11, 100%, $F$11)</f>
        <v>10.1282</v>
      </c>
      <c r="H315" s="4">
        <f>11.0032 * CHOOSE(CONTROL!$C$15, $D$11, 100%, $F$11)</f>
        <v>11.0032</v>
      </c>
      <c r="I315" s="8">
        <f>10.0973 * CHOOSE(CONTROL!$C$15, $D$11, 100%, $F$11)</f>
        <v>10.097300000000001</v>
      </c>
      <c r="J315" s="4">
        <f>9.9337 * CHOOSE(CONTROL!$C$15, $D$11, 100%, $F$11)</f>
        <v>9.9337</v>
      </c>
      <c r="K315" s="4"/>
      <c r="L315" s="9">
        <v>28.360600000000002</v>
      </c>
      <c r="M315" s="9">
        <v>11.6745</v>
      </c>
      <c r="N315" s="9">
        <v>4.7850000000000001</v>
      </c>
      <c r="O315" s="9">
        <v>0.36199999999999999</v>
      </c>
      <c r="P315" s="9">
        <v>1.2509999999999999</v>
      </c>
      <c r="Q315" s="9">
        <v>29.406600000000001</v>
      </c>
      <c r="R315" s="9"/>
      <c r="S315" s="11"/>
    </row>
    <row r="316" spans="1:19" ht="15.75">
      <c r="A316" s="13">
        <v>51135</v>
      </c>
      <c r="B316" s="8">
        <f>10.356 * CHOOSE(CONTROL!$C$15, $D$11, 100%, $F$11)</f>
        <v>10.356</v>
      </c>
      <c r="C316" s="8">
        <f>10.3612 * CHOOSE(CONTROL!$C$15, $D$11, 100%, $F$11)</f>
        <v>10.3612</v>
      </c>
      <c r="D316" s="8">
        <f>10.3489 * CHOOSE( CONTROL!$C$15, $D$11, 100%, $F$11)</f>
        <v>10.3489</v>
      </c>
      <c r="E316" s="12">
        <f>10.3528 * CHOOSE( CONTROL!$C$15, $D$11, 100%, $F$11)</f>
        <v>10.3528</v>
      </c>
      <c r="F316" s="4">
        <f>11.0065 * CHOOSE(CONTROL!$C$15, $D$11, 100%, $F$11)</f>
        <v>11.006500000000001</v>
      </c>
      <c r="G316" s="8">
        <f>10.1109 * CHOOSE( CONTROL!$C$15, $D$11, 100%, $F$11)</f>
        <v>10.110900000000001</v>
      </c>
      <c r="H316" s="4">
        <f>10.9848 * CHOOSE(CONTROL!$C$15, $D$11, 100%, $F$11)</f>
        <v>10.9848</v>
      </c>
      <c r="I316" s="8">
        <f>10.0839 * CHOOSE(CONTROL!$C$15, $D$11, 100%, $F$11)</f>
        <v>10.0839</v>
      </c>
      <c r="J316" s="4">
        <f>9.9156 * CHOOSE(CONTROL!$C$15, $D$11, 100%, $F$11)</f>
        <v>9.9155999999999995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30.386800000000001</v>
      </c>
      <c r="R316" s="9"/>
      <c r="S316" s="11"/>
    </row>
    <row r="317" spans="1:19" ht="15.75">
      <c r="A317" s="13">
        <v>51166</v>
      </c>
      <c r="B317" s="8">
        <f>10.7507 * CHOOSE(CONTROL!$C$15, $D$11, 100%, $F$11)</f>
        <v>10.7507</v>
      </c>
      <c r="C317" s="8">
        <f>10.7559 * CHOOSE(CONTROL!$C$15, $D$11, 100%, $F$11)</f>
        <v>10.7559</v>
      </c>
      <c r="D317" s="8">
        <f>10.7384 * CHOOSE( CONTROL!$C$15, $D$11, 100%, $F$11)</f>
        <v>10.7384</v>
      </c>
      <c r="E317" s="12">
        <f>10.7442 * CHOOSE( CONTROL!$C$15, $D$11, 100%, $F$11)</f>
        <v>10.744199999999999</v>
      </c>
      <c r="F317" s="4">
        <f>11.4012 * CHOOSE(CONTROL!$C$15, $D$11, 100%, $F$11)</f>
        <v>11.401199999999999</v>
      </c>
      <c r="G317" s="8">
        <f>10.4864 * CHOOSE( CONTROL!$C$15, $D$11, 100%, $F$11)</f>
        <v>10.4864</v>
      </c>
      <c r="H317" s="4">
        <f>11.3704 * CHOOSE(CONTROL!$C$15, $D$11, 100%, $F$11)</f>
        <v>11.3704</v>
      </c>
      <c r="I317" s="8">
        <f>10.4229 * CHOOSE(CONTROL!$C$15, $D$11, 100%, $F$11)</f>
        <v>10.4229</v>
      </c>
      <c r="J317" s="4">
        <f>10.2946 * CHOOSE(CONTROL!$C$15, $D$11, 100%, $F$11)</f>
        <v>10.294600000000001</v>
      </c>
      <c r="K317" s="4"/>
      <c r="L317" s="9">
        <v>29.306000000000001</v>
      </c>
      <c r="M317" s="9">
        <v>12.063700000000001</v>
      </c>
      <c r="N317" s="9">
        <v>4.9444999999999997</v>
      </c>
      <c r="O317" s="9">
        <v>0.37409999999999999</v>
      </c>
      <c r="P317" s="9">
        <v>1.2927</v>
      </c>
      <c r="Q317" s="9">
        <v>30.3217</v>
      </c>
      <c r="R317" s="9"/>
      <c r="S317" s="11"/>
    </row>
    <row r="318" spans="1:19" ht="15.75">
      <c r="A318" s="13">
        <v>51194</v>
      </c>
      <c r="B318" s="8">
        <f>10.0576 * CHOOSE(CONTROL!$C$15, $D$11, 100%, $F$11)</f>
        <v>10.057600000000001</v>
      </c>
      <c r="C318" s="8">
        <f>10.0627 * CHOOSE(CONTROL!$C$15, $D$11, 100%, $F$11)</f>
        <v>10.0627</v>
      </c>
      <c r="D318" s="8">
        <f>10.0451 * CHOOSE( CONTROL!$C$15, $D$11, 100%, $F$11)</f>
        <v>10.0451</v>
      </c>
      <c r="E318" s="12">
        <f>10.051 * CHOOSE( CONTROL!$C$15, $D$11, 100%, $F$11)</f>
        <v>10.051</v>
      </c>
      <c r="F318" s="4">
        <f>10.708 * CHOOSE(CONTROL!$C$15, $D$11, 100%, $F$11)</f>
        <v>10.708</v>
      </c>
      <c r="G318" s="8">
        <f>9.8093 * CHOOSE( CONTROL!$C$15, $D$11, 100%, $F$11)</f>
        <v>9.8093000000000004</v>
      </c>
      <c r="H318" s="4">
        <f>10.6933 * CHOOSE(CONTROL!$C$15, $D$11, 100%, $F$11)</f>
        <v>10.693300000000001</v>
      </c>
      <c r="I318" s="8">
        <f>9.7569 * CHOOSE(CONTROL!$C$15, $D$11, 100%, $F$11)</f>
        <v>9.7568999999999999</v>
      </c>
      <c r="J318" s="4">
        <f>9.6291 * CHOOSE(CONTROL!$C$15, $D$11, 100%, $F$11)</f>
        <v>9.6290999999999993</v>
      </c>
      <c r="K318" s="4"/>
      <c r="L318" s="9">
        <v>27.415299999999998</v>
      </c>
      <c r="M318" s="9">
        <v>11.285299999999999</v>
      </c>
      <c r="N318" s="9">
        <v>4.6254999999999997</v>
      </c>
      <c r="O318" s="9">
        <v>0.34989999999999999</v>
      </c>
      <c r="P318" s="9">
        <v>1.2093</v>
      </c>
      <c r="Q318" s="9">
        <v>28.365500000000001</v>
      </c>
      <c r="R318" s="9"/>
      <c r="S318" s="11"/>
    </row>
    <row r="319" spans="1:19" ht="15.75">
      <c r="A319" s="13">
        <v>51226</v>
      </c>
      <c r="B319" s="8">
        <f>9.8441 * CHOOSE(CONTROL!$C$15, $D$11, 100%, $F$11)</f>
        <v>9.8440999999999992</v>
      </c>
      <c r="C319" s="8">
        <f>9.8492 * CHOOSE(CONTROL!$C$15, $D$11, 100%, $F$11)</f>
        <v>9.8491999999999997</v>
      </c>
      <c r="D319" s="8">
        <f>9.8313 * CHOOSE( CONTROL!$C$15, $D$11, 100%, $F$11)</f>
        <v>9.8313000000000006</v>
      </c>
      <c r="E319" s="12">
        <f>9.8373 * CHOOSE( CONTROL!$C$15, $D$11, 100%, $F$11)</f>
        <v>9.8373000000000008</v>
      </c>
      <c r="F319" s="4">
        <f>10.4945 * CHOOSE(CONTROL!$C$15, $D$11, 100%, $F$11)</f>
        <v>10.4945</v>
      </c>
      <c r="G319" s="8">
        <f>9.6005 * CHOOSE( CONTROL!$C$15, $D$11, 100%, $F$11)</f>
        <v>9.6005000000000003</v>
      </c>
      <c r="H319" s="4">
        <f>10.4848 * CHOOSE(CONTROL!$C$15, $D$11, 100%, $F$11)</f>
        <v>10.4848</v>
      </c>
      <c r="I319" s="8">
        <f>9.5506 * CHOOSE(CONTROL!$C$15, $D$11, 100%, $F$11)</f>
        <v>9.5505999999999993</v>
      </c>
      <c r="J319" s="4">
        <f>9.4241 * CHOOSE(CONTROL!$C$15, $D$11, 100%, $F$11)</f>
        <v>9.4240999999999993</v>
      </c>
      <c r="K319" s="4"/>
      <c r="L319" s="9">
        <v>29.306000000000001</v>
      </c>
      <c r="M319" s="9">
        <v>12.063700000000001</v>
      </c>
      <c r="N319" s="9">
        <v>4.9444999999999997</v>
      </c>
      <c r="O319" s="9">
        <v>0.37409999999999999</v>
      </c>
      <c r="P319" s="9">
        <v>1.2927</v>
      </c>
      <c r="Q319" s="9">
        <v>30.3217</v>
      </c>
      <c r="R319" s="9"/>
      <c r="S319" s="11"/>
    </row>
    <row r="320" spans="1:19" ht="15.75">
      <c r="A320" s="13">
        <v>51256</v>
      </c>
      <c r="B320" s="8">
        <f>9.994 * CHOOSE(CONTROL!$C$15, $D$11, 100%, $F$11)</f>
        <v>9.9939999999999998</v>
      </c>
      <c r="C320" s="8">
        <f>9.9986 * CHOOSE(CONTROL!$C$15, $D$11, 100%, $F$11)</f>
        <v>9.9985999999999997</v>
      </c>
      <c r="D320" s="8">
        <f>10.0298 * CHOOSE( CONTROL!$C$15, $D$11, 100%, $F$11)</f>
        <v>10.0298</v>
      </c>
      <c r="E320" s="12">
        <f>10.019 * CHOOSE( CONTROL!$C$15, $D$11, 100%, $F$11)</f>
        <v>10.019</v>
      </c>
      <c r="F320" s="4">
        <f>10.7078 * CHOOSE(CONTROL!$C$15, $D$11, 100%, $F$11)</f>
        <v>10.707800000000001</v>
      </c>
      <c r="G320" s="8">
        <f>9.7471 * CHOOSE( CONTROL!$C$15, $D$11, 100%, $F$11)</f>
        <v>9.7470999999999997</v>
      </c>
      <c r="H320" s="4">
        <f>10.6931 * CHOOSE(CONTROL!$C$15, $D$11, 100%, $F$11)</f>
        <v>10.693099999999999</v>
      </c>
      <c r="I320" s="8">
        <f>9.6845 * CHOOSE(CONTROL!$C$15, $D$11, 100%, $F$11)</f>
        <v>9.6844999999999999</v>
      </c>
      <c r="J320" s="4">
        <f>9.5673 * CHOOSE(CONTROL!$C$15, $D$11, 100%, $F$11)</f>
        <v>9.5672999999999995</v>
      </c>
      <c r="K320" s="4"/>
      <c r="L320" s="9">
        <v>30.092199999999998</v>
      </c>
      <c r="M320" s="9">
        <v>11.6745</v>
      </c>
      <c r="N320" s="9">
        <v>4.7850000000000001</v>
      </c>
      <c r="O320" s="9">
        <v>0.36199999999999999</v>
      </c>
      <c r="P320" s="9">
        <v>1.1791</v>
      </c>
      <c r="Q320" s="9">
        <v>29.343599999999999</v>
      </c>
      <c r="R320" s="9"/>
      <c r="S320" s="11"/>
    </row>
    <row r="321" spans="1:19" ht="15.75">
      <c r="A321" s="13">
        <v>51287</v>
      </c>
      <c r="B321" s="8">
        <f>CHOOSE( CONTROL!$C$32, 10.2665, 10.2609) * CHOOSE(CONTROL!$C$15, $D$11, 100%, $F$11)</f>
        <v>10.266500000000001</v>
      </c>
      <c r="C321" s="8">
        <f>CHOOSE( CONTROL!$C$32, 10.2746, 10.269) * CHOOSE(CONTROL!$C$15, $D$11, 100%, $F$11)</f>
        <v>10.2746</v>
      </c>
      <c r="D321" s="8">
        <f>CHOOSE( CONTROL!$C$32, 10.3005, 10.295) * CHOOSE( CONTROL!$C$15, $D$11, 100%, $F$11)</f>
        <v>10.3005</v>
      </c>
      <c r="E321" s="12">
        <f>CHOOSE( CONTROL!$C$32, 10.2899, 10.2843) * CHOOSE( CONTROL!$C$15, $D$11, 100%, $F$11)</f>
        <v>10.289899999999999</v>
      </c>
      <c r="F321" s="4">
        <f>CHOOSE( CONTROL!$C$32, 10.9789, 10.9733) * CHOOSE(CONTROL!$C$15, $D$11, 100%, $F$11)</f>
        <v>10.978899999999999</v>
      </c>
      <c r="G321" s="8">
        <f>CHOOSE( CONTROL!$C$32, 10.013, 10.0076) * CHOOSE( CONTROL!$C$15, $D$11, 100%, $F$11)</f>
        <v>10.013</v>
      </c>
      <c r="H321" s="4">
        <f>CHOOSE( CONTROL!$C$32, 10.9579, 10.9524) * CHOOSE(CONTROL!$C$15, $D$11, 100%, $F$11)</f>
        <v>10.9579</v>
      </c>
      <c r="I321" s="8">
        <f>CHOOSE( CONTROL!$C$32, 9.9448, 9.9394) * CHOOSE(CONTROL!$C$15, $D$11, 100%, $F$11)</f>
        <v>9.9448000000000008</v>
      </c>
      <c r="J321" s="4">
        <f>CHOOSE( CONTROL!$C$32, 9.8276, 9.8223) * CHOOSE(CONTROL!$C$15, $D$11, 100%, $F$11)</f>
        <v>9.8276000000000003</v>
      </c>
      <c r="K321" s="4"/>
      <c r="L321" s="9">
        <v>30.7165</v>
      </c>
      <c r="M321" s="9">
        <v>12.063700000000001</v>
      </c>
      <c r="N321" s="9">
        <v>4.9444999999999997</v>
      </c>
      <c r="O321" s="9">
        <v>0.37409999999999999</v>
      </c>
      <c r="P321" s="9">
        <v>1.2183999999999999</v>
      </c>
      <c r="Q321" s="9">
        <v>30.3217</v>
      </c>
      <c r="R321" s="9"/>
      <c r="S321" s="11"/>
    </row>
    <row r="322" spans="1:19" ht="15.75">
      <c r="A322" s="13">
        <v>51317</v>
      </c>
      <c r="B322" s="8">
        <f>CHOOSE( CONTROL!$C$32, 10.102, 10.0964) * CHOOSE(CONTROL!$C$15, $D$11, 100%, $F$11)</f>
        <v>10.102</v>
      </c>
      <c r="C322" s="8">
        <f>CHOOSE( CONTROL!$C$32, 10.1101, 10.1045) * CHOOSE(CONTROL!$C$15, $D$11, 100%, $F$11)</f>
        <v>10.110099999999999</v>
      </c>
      <c r="D322" s="8">
        <f>CHOOSE( CONTROL!$C$32, 10.1362, 10.1306) * CHOOSE( CONTROL!$C$15, $D$11, 100%, $F$11)</f>
        <v>10.136200000000001</v>
      </c>
      <c r="E322" s="12">
        <f>CHOOSE( CONTROL!$C$32, 10.1255, 10.1199) * CHOOSE( CONTROL!$C$15, $D$11, 100%, $F$11)</f>
        <v>10.125500000000001</v>
      </c>
      <c r="F322" s="4">
        <f>CHOOSE( CONTROL!$C$32, 10.8144, 10.8088) * CHOOSE(CONTROL!$C$15, $D$11, 100%, $F$11)</f>
        <v>10.814399999999999</v>
      </c>
      <c r="G322" s="8">
        <f>CHOOSE( CONTROL!$C$32, 9.8526, 9.8472) * CHOOSE( CONTROL!$C$15, $D$11, 100%, $F$11)</f>
        <v>9.8526000000000007</v>
      </c>
      <c r="H322" s="4">
        <f>CHOOSE( CONTROL!$C$32, 10.7972, 10.7918) * CHOOSE(CONTROL!$C$15, $D$11, 100%, $F$11)</f>
        <v>10.7972</v>
      </c>
      <c r="I322" s="8">
        <f>CHOOSE( CONTROL!$C$32, 9.7876, 9.7823) * CHOOSE(CONTROL!$C$15, $D$11, 100%, $F$11)</f>
        <v>9.7875999999999994</v>
      </c>
      <c r="J322" s="4">
        <f>CHOOSE( CONTROL!$C$32, 9.6697, 9.6644) * CHOOSE(CONTROL!$C$15, $D$11, 100%, $F$11)</f>
        <v>9.6697000000000006</v>
      </c>
      <c r="K322" s="4"/>
      <c r="L322" s="9">
        <v>29.7257</v>
      </c>
      <c r="M322" s="9">
        <v>11.6745</v>
      </c>
      <c r="N322" s="9">
        <v>4.7850000000000001</v>
      </c>
      <c r="O322" s="9">
        <v>0.36199999999999999</v>
      </c>
      <c r="P322" s="9">
        <v>1.1791</v>
      </c>
      <c r="Q322" s="9">
        <v>29.343599999999999</v>
      </c>
      <c r="R322" s="9"/>
      <c r="S322" s="11"/>
    </row>
    <row r="323" spans="1:19" ht="15.75">
      <c r="A323" s="13">
        <v>51348</v>
      </c>
      <c r="B323" s="8">
        <f>CHOOSE( CONTROL!$C$32, 10.5351, 10.5296) * CHOOSE(CONTROL!$C$15, $D$11, 100%, $F$11)</f>
        <v>10.5351</v>
      </c>
      <c r="C323" s="8">
        <f>CHOOSE( CONTROL!$C$32, 10.5432, 10.5376) * CHOOSE(CONTROL!$C$15, $D$11, 100%, $F$11)</f>
        <v>10.543200000000001</v>
      </c>
      <c r="D323" s="8">
        <f>CHOOSE( CONTROL!$C$32, 10.5696, 10.564) * CHOOSE( CONTROL!$C$15, $D$11, 100%, $F$11)</f>
        <v>10.569599999999999</v>
      </c>
      <c r="E323" s="12">
        <f>CHOOSE( CONTROL!$C$32, 10.5588, 10.5532) * CHOOSE( CONTROL!$C$15, $D$11, 100%, $F$11)</f>
        <v>10.5588</v>
      </c>
      <c r="F323" s="4">
        <f>CHOOSE( CONTROL!$C$32, 11.2475, 11.242) * CHOOSE(CONTROL!$C$15, $D$11, 100%, $F$11)</f>
        <v>11.2475</v>
      </c>
      <c r="G323" s="8">
        <f>CHOOSE( CONTROL!$C$32, 10.2759, 10.2705) * CHOOSE( CONTROL!$C$15, $D$11, 100%, $F$11)</f>
        <v>10.2759</v>
      </c>
      <c r="H323" s="4">
        <f>CHOOSE( CONTROL!$C$32, 11.2203, 11.2148) * CHOOSE(CONTROL!$C$15, $D$11, 100%, $F$11)</f>
        <v>11.2203</v>
      </c>
      <c r="I323" s="8">
        <f>CHOOSE( CONTROL!$C$32, 10.2046, 10.1993) * CHOOSE(CONTROL!$C$15, $D$11, 100%, $F$11)</f>
        <v>10.204599999999999</v>
      </c>
      <c r="J323" s="4">
        <f>CHOOSE( CONTROL!$C$32, 10.0856, 10.0802) * CHOOSE(CONTROL!$C$15, $D$11, 100%, $F$11)</f>
        <v>10.085599999999999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1.2183999999999999</v>
      </c>
      <c r="Q323" s="9">
        <v>30.3217</v>
      </c>
      <c r="R323" s="9"/>
      <c r="S323" s="11"/>
    </row>
    <row r="324" spans="1:19" ht="15.75">
      <c r="A324" s="13">
        <v>51379</v>
      </c>
      <c r="B324" s="8">
        <f>CHOOSE( CONTROL!$C$32, 9.7247, 9.7191) * CHOOSE(CONTROL!$C$15, $D$11, 100%, $F$11)</f>
        <v>9.7247000000000003</v>
      </c>
      <c r="C324" s="8">
        <f>CHOOSE( CONTROL!$C$32, 9.7328, 9.7272) * CHOOSE(CONTROL!$C$15, $D$11, 100%, $F$11)</f>
        <v>9.7327999999999992</v>
      </c>
      <c r="D324" s="8">
        <f>CHOOSE( CONTROL!$C$32, 9.7592, 9.7536) * CHOOSE( CONTROL!$C$15, $D$11, 100%, $F$11)</f>
        <v>9.7591999999999999</v>
      </c>
      <c r="E324" s="12">
        <f>CHOOSE( CONTROL!$C$32, 9.7484, 9.7428) * CHOOSE( CONTROL!$C$15, $D$11, 100%, $F$11)</f>
        <v>9.7484000000000002</v>
      </c>
      <c r="F324" s="4">
        <f>CHOOSE( CONTROL!$C$32, 10.4371, 10.4315) * CHOOSE(CONTROL!$C$15, $D$11, 100%, $F$11)</f>
        <v>10.437099999999999</v>
      </c>
      <c r="G324" s="8">
        <f>CHOOSE( CONTROL!$C$32, 9.4845, 9.479) * CHOOSE( CONTROL!$C$15, $D$11, 100%, $F$11)</f>
        <v>9.4845000000000006</v>
      </c>
      <c r="H324" s="4">
        <f>CHOOSE( CONTROL!$C$32, 10.4287, 10.4232) * CHOOSE(CONTROL!$C$15, $D$11, 100%, $F$11)</f>
        <v>10.428699999999999</v>
      </c>
      <c r="I324" s="8">
        <f>CHOOSE( CONTROL!$C$32, 9.4264, 9.4211) * CHOOSE(CONTROL!$C$15, $D$11, 100%, $F$11)</f>
        <v>9.4263999999999992</v>
      </c>
      <c r="J324" s="4">
        <f>CHOOSE( CONTROL!$C$32, 9.3074, 9.3021) * CHOOSE(CONTROL!$C$15, $D$11, 100%, $F$11)</f>
        <v>9.3073999999999995</v>
      </c>
      <c r="K324" s="4"/>
      <c r="L324" s="9">
        <v>30.7165</v>
      </c>
      <c r="M324" s="9">
        <v>12.063700000000001</v>
      </c>
      <c r="N324" s="9">
        <v>4.9444999999999997</v>
      </c>
      <c r="O324" s="9">
        <v>0.37409999999999999</v>
      </c>
      <c r="P324" s="9">
        <v>1.2183999999999999</v>
      </c>
      <c r="Q324" s="9">
        <v>30.3217</v>
      </c>
      <c r="R324" s="9"/>
      <c r="S324" s="11"/>
    </row>
    <row r="325" spans="1:19" ht="15.75">
      <c r="A325" s="13">
        <v>51409</v>
      </c>
      <c r="B325" s="8">
        <f>CHOOSE( CONTROL!$C$32, 9.5217, 9.5162) * CHOOSE(CONTROL!$C$15, $D$11, 100%, $F$11)</f>
        <v>9.5216999999999992</v>
      </c>
      <c r="C325" s="8">
        <f>CHOOSE( CONTROL!$C$32, 9.5298, 9.5242) * CHOOSE(CONTROL!$C$15, $D$11, 100%, $F$11)</f>
        <v>9.5297999999999998</v>
      </c>
      <c r="D325" s="8">
        <f>CHOOSE( CONTROL!$C$32, 9.5562, 9.5506) * CHOOSE( CONTROL!$C$15, $D$11, 100%, $F$11)</f>
        <v>9.5562000000000005</v>
      </c>
      <c r="E325" s="12">
        <f>CHOOSE( CONTROL!$C$32, 9.5454, 9.5398) * CHOOSE( CONTROL!$C$15, $D$11, 100%, $F$11)</f>
        <v>9.5454000000000008</v>
      </c>
      <c r="F325" s="4">
        <f>CHOOSE( CONTROL!$C$32, 10.2341, 10.2286) * CHOOSE(CONTROL!$C$15, $D$11, 100%, $F$11)</f>
        <v>10.2341</v>
      </c>
      <c r="G325" s="8">
        <f>CHOOSE( CONTROL!$C$32, 9.2862, 9.2807) * CHOOSE( CONTROL!$C$15, $D$11, 100%, $F$11)</f>
        <v>9.2861999999999991</v>
      </c>
      <c r="H325" s="4">
        <f>CHOOSE( CONTROL!$C$32, 10.2305, 10.225) * CHOOSE(CONTROL!$C$15, $D$11, 100%, $F$11)</f>
        <v>10.230499999999999</v>
      </c>
      <c r="I325" s="8">
        <f>CHOOSE( CONTROL!$C$32, 9.2312, 9.2259) * CHOOSE(CONTROL!$C$15, $D$11, 100%, $F$11)</f>
        <v>9.2311999999999994</v>
      </c>
      <c r="J325" s="4">
        <f>CHOOSE( CONTROL!$C$32, 9.1126, 9.1072) * CHOOSE(CONTROL!$C$15, $D$11, 100%, $F$11)</f>
        <v>9.1126000000000005</v>
      </c>
      <c r="K325" s="4"/>
      <c r="L325" s="9">
        <v>29.7257</v>
      </c>
      <c r="M325" s="9">
        <v>11.6745</v>
      </c>
      <c r="N325" s="9">
        <v>4.7850000000000001</v>
      </c>
      <c r="O325" s="9">
        <v>0.36199999999999999</v>
      </c>
      <c r="P325" s="9">
        <v>1.1791</v>
      </c>
      <c r="Q325" s="9">
        <v>29.343599999999999</v>
      </c>
      <c r="R325" s="9"/>
      <c r="S325" s="11"/>
    </row>
    <row r="326" spans="1:19" ht="15.75">
      <c r="A326" s="13">
        <v>51440</v>
      </c>
      <c r="B326" s="8">
        <f>9.9358 * CHOOSE(CONTROL!$C$15, $D$11, 100%, $F$11)</f>
        <v>9.9358000000000004</v>
      </c>
      <c r="C326" s="8">
        <f>9.9413 * CHOOSE(CONTROL!$C$15, $D$11, 100%, $F$11)</f>
        <v>9.9413</v>
      </c>
      <c r="D326" s="8">
        <f>9.9724 * CHOOSE( CONTROL!$C$15, $D$11, 100%, $F$11)</f>
        <v>9.9724000000000004</v>
      </c>
      <c r="E326" s="12">
        <f>9.9615 * CHOOSE( CONTROL!$C$15, $D$11, 100%, $F$11)</f>
        <v>9.9614999999999991</v>
      </c>
      <c r="F326" s="4">
        <f>10.6499 * CHOOSE(CONTROL!$C$15, $D$11, 100%, $F$11)</f>
        <v>10.649900000000001</v>
      </c>
      <c r="G326" s="8">
        <f>9.6914 * CHOOSE( CONTROL!$C$15, $D$11, 100%, $F$11)</f>
        <v>9.6913999999999998</v>
      </c>
      <c r="H326" s="4">
        <f>10.6366 * CHOOSE(CONTROL!$C$15, $D$11, 100%, $F$11)</f>
        <v>10.6366</v>
      </c>
      <c r="I326" s="8">
        <f>9.6315 * CHOOSE(CONTROL!$C$15, $D$11, 100%, $F$11)</f>
        <v>9.6315000000000008</v>
      </c>
      <c r="J326" s="4">
        <f>9.5118 * CHOOSE(CONTROL!$C$15, $D$11, 100%, $F$11)</f>
        <v>9.5117999999999991</v>
      </c>
      <c r="K326" s="4"/>
      <c r="L326" s="9">
        <v>31.095300000000002</v>
      </c>
      <c r="M326" s="9">
        <v>12.063700000000001</v>
      </c>
      <c r="N326" s="9">
        <v>4.9444999999999997</v>
      </c>
      <c r="O326" s="9">
        <v>0.37409999999999999</v>
      </c>
      <c r="P326" s="9">
        <v>1.2183999999999999</v>
      </c>
      <c r="Q326" s="9">
        <v>30.3217</v>
      </c>
      <c r="R326" s="9"/>
      <c r="S326" s="11"/>
    </row>
    <row r="327" spans="1:19" ht="15.75">
      <c r="A327" s="13">
        <v>51470</v>
      </c>
      <c r="B327" s="8">
        <f>10.7132 * CHOOSE(CONTROL!$C$15, $D$11, 100%, $F$11)</f>
        <v>10.713200000000001</v>
      </c>
      <c r="C327" s="8">
        <f>10.7184 * CHOOSE(CONTROL!$C$15, $D$11, 100%, $F$11)</f>
        <v>10.718400000000001</v>
      </c>
      <c r="D327" s="8">
        <f>10.7046 * CHOOSE( CONTROL!$C$15, $D$11, 100%, $F$11)</f>
        <v>10.704599999999999</v>
      </c>
      <c r="E327" s="12">
        <f>10.7091 * CHOOSE( CONTROL!$C$15, $D$11, 100%, $F$11)</f>
        <v>10.709099999999999</v>
      </c>
      <c r="F327" s="4">
        <f>11.3637 * CHOOSE(CONTROL!$C$15, $D$11, 100%, $F$11)</f>
        <v>11.3637</v>
      </c>
      <c r="G327" s="8">
        <f>10.4587 * CHOOSE( CONTROL!$C$15, $D$11, 100%, $F$11)</f>
        <v>10.4587</v>
      </c>
      <c r="H327" s="4">
        <f>11.3337 * CHOOSE(CONTROL!$C$15, $D$11, 100%, $F$11)</f>
        <v>11.3337</v>
      </c>
      <c r="I327" s="8">
        <f>10.4223 * CHOOSE(CONTROL!$C$15, $D$11, 100%, $F$11)</f>
        <v>10.4223</v>
      </c>
      <c r="J327" s="4">
        <f>10.2586 * CHOOSE(CONTROL!$C$15, $D$11, 100%, $F$11)</f>
        <v>10.258599999999999</v>
      </c>
      <c r="K327" s="4"/>
      <c r="L327" s="9">
        <v>28.360600000000002</v>
      </c>
      <c r="M327" s="9">
        <v>11.6745</v>
      </c>
      <c r="N327" s="9">
        <v>4.7850000000000001</v>
      </c>
      <c r="O327" s="9">
        <v>0.36199999999999999</v>
      </c>
      <c r="P327" s="9">
        <v>1.2509999999999999</v>
      </c>
      <c r="Q327" s="9">
        <v>29.343599999999999</v>
      </c>
      <c r="R327" s="9"/>
      <c r="S327" s="11"/>
    </row>
    <row r="328" spans="1:19" ht="15.75">
      <c r="A328" s="13">
        <v>51501</v>
      </c>
      <c r="B328" s="8">
        <f>10.6938 * CHOOSE(CONTROL!$C$15, $D$11, 100%, $F$11)</f>
        <v>10.6938</v>
      </c>
      <c r="C328" s="8">
        <f>10.699 * CHOOSE(CONTROL!$C$15, $D$11, 100%, $F$11)</f>
        <v>10.699</v>
      </c>
      <c r="D328" s="8">
        <f>10.6867 * CHOOSE( CONTROL!$C$15, $D$11, 100%, $F$11)</f>
        <v>10.6867</v>
      </c>
      <c r="E328" s="12">
        <f>10.6906 * CHOOSE( CONTROL!$C$15, $D$11, 100%, $F$11)</f>
        <v>10.6906</v>
      </c>
      <c r="F328" s="4">
        <f>11.3443 * CHOOSE(CONTROL!$C$15, $D$11, 100%, $F$11)</f>
        <v>11.3443</v>
      </c>
      <c r="G328" s="8">
        <f>10.4408 * CHOOSE( CONTROL!$C$15, $D$11, 100%, $F$11)</f>
        <v>10.440799999999999</v>
      </c>
      <c r="H328" s="4">
        <f>11.3147 * CHOOSE(CONTROL!$C$15, $D$11, 100%, $F$11)</f>
        <v>11.3147</v>
      </c>
      <c r="I328" s="8">
        <f>10.4084 * CHOOSE(CONTROL!$C$15, $D$11, 100%, $F$11)</f>
        <v>10.4084</v>
      </c>
      <c r="J328" s="4">
        <f>10.2399 * CHOOSE(CONTROL!$C$15, $D$11, 100%, $F$11)</f>
        <v>10.2399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30.3217</v>
      </c>
      <c r="R328" s="9"/>
      <c r="S328" s="11"/>
    </row>
    <row r="329" spans="1:19" ht="15.75">
      <c r="A329" s="13">
        <v>51532</v>
      </c>
      <c r="B329" s="8">
        <f>11.1014 * CHOOSE(CONTROL!$C$15, $D$11, 100%, $F$11)</f>
        <v>11.1014</v>
      </c>
      <c r="C329" s="8">
        <f>11.1066 * CHOOSE(CONTROL!$C$15, $D$11, 100%, $F$11)</f>
        <v>11.1066</v>
      </c>
      <c r="D329" s="8">
        <f>11.089 * CHOOSE( CONTROL!$C$15, $D$11, 100%, $F$11)</f>
        <v>11.089</v>
      </c>
      <c r="E329" s="12">
        <f>11.0949 * CHOOSE( CONTROL!$C$15, $D$11, 100%, $F$11)</f>
        <v>11.094900000000001</v>
      </c>
      <c r="F329" s="4">
        <f>11.7519 * CHOOSE(CONTROL!$C$15, $D$11, 100%, $F$11)</f>
        <v>11.751899999999999</v>
      </c>
      <c r="G329" s="8">
        <f>10.8289 * CHOOSE( CONTROL!$C$15, $D$11, 100%, $F$11)</f>
        <v>10.828900000000001</v>
      </c>
      <c r="H329" s="4">
        <f>11.7129 * CHOOSE(CONTROL!$C$15, $D$11, 100%, $F$11)</f>
        <v>11.712899999999999</v>
      </c>
      <c r="I329" s="8">
        <f>10.7598 * CHOOSE(CONTROL!$C$15, $D$11, 100%, $F$11)</f>
        <v>10.7598</v>
      </c>
      <c r="J329" s="4">
        <f>10.6313 * CHOOSE(CONTROL!$C$15, $D$11, 100%, $F$11)</f>
        <v>10.6313</v>
      </c>
      <c r="K329" s="4"/>
      <c r="L329" s="9">
        <v>29.306000000000001</v>
      </c>
      <c r="M329" s="9">
        <v>12.063700000000001</v>
      </c>
      <c r="N329" s="9">
        <v>4.9444999999999997</v>
      </c>
      <c r="O329" s="9">
        <v>0.37409999999999999</v>
      </c>
      <c r="P329" s="9">
        <v>1.2927</v>
      </c>
      <c r="Q329" s="9">
        <v>30.258500000000002</v>
      </c>
      <c r="R329" s="9"/>
      <c r="S329" s="11"/>
    </row>
    <row r="330" spans="1:19" ht="15.75">
      <c r="A330" s="13">
        <v>51560</v>
      </c>
      <c r="B330" s="8">
        <f>10.3856 * CHOOSE(CONTROL!$C$15, $D$11, 100%, $F$11)</f>
        <v>10.3856</v>
      </c>
      <c r="C330" s="8">
        <f>10.3907 * CHOOSE(CONTROL!$C$15, $D$11, 100%, $F$11)</f>
        <v>10.390700000000001</v>
      </c>
      <c r="D330" s="8">
        <f>10.3731 * CHOOSE( CONTROL!$C$15, $D$11, 100%, $F$11)</f>
        <v>10.373100000000001</v>
      </c>
      <c r="E330" s="12">
        <f>10.379 * CHOOSE( CONTROL!$C$15, $D$11, 100%, $F$11)</f>
        <v>10.379</v>
      </c>
      <c r="F330" s="4">
        <f>11.036 * CHOOSE(CONTROL!$C$15, $D$11, 100%, $F$11)</f>
        <v>11.036</v>
      </c>
      <c r="G330" s="8">
        <f>10.1297 * CHOOSE( CONTROL!$C$15, $D$11, 100%, $F$11)</f>
        <v>10.1297</v>
      </c>
      <c r="H330" s="4">
        <f>11.0137 * CHOOSE(CONTROL!$C$15, $D$11, 100%, $F$11)</f>
        <v>11.0137</v>
      </c>
      <c r="I330" s="8">
        <f>10.072 * CHOOSE(CONTROL!$C$15, $D$11, 100%, $F$11)</f>
        <v>10.071999999999999</v>
      </c>
      <c r="J330" s="4">
        <f>9.944 * CHOOSE(CONTROL!$C$15, $D$11, 100%, $F$11)</f>
        <v>9.9440000000000008</v>
      </c>
      <c r="K330" s="4"/>
      <c r="L330" s="9">
        <v>26.469899999999999</v>
      </c>
      <c r="M330" s="9">
        <v>10.8962</v>
      </c>
      <c r="N330" s="9">
        <v>4.4660000000000002</v>
      </c>
      <c r="O330" s="9">
        <v>0.33789999999999998</v>
      </c>
      <c r="P330" s="9">
        <v>1.1676</v>
      </c>
      <c r="Q330" s="9">
        <v>27.330200000000001</v>
      </c>
      <c r="R330" s="9"/>
      <c r="S330" s="11"/>
    </row>
    <row r="331" spans="1:19" ht="15.75">
      <c r="A331" s="13">
        <v>51591</v>
      </c>
      <c r="B331" s="8">
        <f>10.1651 * CHOOSE(CONTROL!$C$15, $D$11, 100%, $F$11)</f>
        <v>10.165100000000001</v>
      </c>
      <c r="C331" s="8">
        <f>10.1703 * CHOOSE(CONTROL!$C$15, $D$11, 100%, $F$11)</f>
        <v>10.170299999999999</v>
      </c>
      <c r="D331" s="8">
        <f>10.1523 * CHOOSE( CONTROL!$C$15, $D$11, 100%, $F$11)</f>
        <v>10.1523</v>
      </c>
      <c r="E331" s="12">
        <f>10.1583 * CHOOSE( CONTROL!$C$15, $D$11, 100%, $F$11)</f>
        <v>10.158300000000001</v>
      </c>
      <c r="F331" s="4">
        <f>10.8155 * CHOOSE(CONTROL!$C$15, $D$11, 100%, $F$11)</f>
        <v>10.8155</v>
      </c>
      <c r="G331" s="8">
        <f>9.9141 * CHOOSE( CONTROL!$C$15, $D$11, 100%, $F$11)</f>
        <v>9.9140999999999995</v>
      </c>
      <c r="H331" s="4">
        <f>10.7983 * CHOOSE(CONTROL!$C$15, $D$11, 100%, $F$11)</f>
        <v>10.798299999999999</v>
      </c>
      <c r="I331" s="8">
        <f>9.859 * CHOOSE(CONTROL!$C$15, $D$11, 100%, $F$11)</f>
        <v>9.859</v>
      </c>
      <c r="J331" s="4">
        <f>9.7323 * CHOOSE(CONTROL!$C$15, $D$11, 100%, $F$11)</f>
        <v>9.7323000000000004</v>
      </c>
      <c r="K331" s="4"/>
      <c r="L331" s="9">
        <v>29.306000000000001</v>
      </c>
      <c r="M331" s="9">
        <v>12.063700000000001</v>
      </c>
      <c r="N331" s="9">
        <v>4.9444999999999997</v>
      </c>
      <c r="O331" s="9">
        <v>0.37409999999999999</v>
      </c>
      <c r="P331" s="9">
        <v>1.2927</v>
      </c>
      <c r="Q331" s="9">
        <v>30.258500000000002</v>
      </c>
      <c r="R331" s="9"/>
      <c r="S331" s="11"/>
    </row>
    <row r="332" spans="1:19" ht="15.75">
      <c r="A332" s="13">
        <v>51621</v>
      </c>
      <c r="B332" s="8">
        <f>10.3199 * CHOOSE(CONTROL!$C$15, $D$11, 100%, $F$11)</f>
        <v>10.319900000000001</v>
      </c>
      <c r="C332" s="8">
        <f>10.3245 * CHOOSE(CONTROL!$C$15, $D$11, 100%, $F$11)</f>
        <v>10.3245</v>
      </c>
      <c r="D332" s="8">
        <f>10.3556 * CHOOSE( CONTROL!$C$15, $D$11, 100%, $F$11)</f>
        <v>10.355600000000001</v>
      </c>
      <c r="E332" s="12">
        <f>10.3448 * CHOOSE( CONTROL!$C$15, $D$11, 100%, $F$11)</f>
        <v>10.344799999999999</v>
      </c>
      <c r="F332" s="4">
        <f>11.0337 * CHOOSE(CONTROL!$C$15, $D$11, 100%, $F$11)</f>
        <v>11.0337</v>
      </c>
      <c r="G332" s="8">
        <f>10.0654 * CHOOSE( CONTROL!$C$15, $D$11, 100%, $F$11)</f>
        <v>10.0654</v>
      </c>
      <c r="H332" s="4">
        <f>11.0114 * CHOOSE(CONTROL!$C$15, $D$11, 100%, $F$11)</f>
        <v>11.0114</v>
      </c>
      <c r="I332" s="8">
        <f>9.9975 * CHOOSE(CONTROL!$C$15, $D$11, 100%, $F$11)</f>
        <v>9.9975000000000005</v>
      </c>
      <c r="J332" s="4">
        <f>9.8802 * CHOOSE(CONTROL!$C$15, $D$11, 100%, $F$11)</f>
        <v>9.8802000000000003</v>
      </c>
      <c r="K332" s="4"/>
      <c r="L332" s="9">
        <v>30.092199999999998</v>
      </c>
      <c r="M332" s="9">
        <v>11.6745</v>
      </c>
      <c r="N332" s="9">
        <v>4.7850000000000001</v>
      </c>
      <c r="O332" s="9">
        <v>0.36199999999999999</v>
      </c>
      <c r="P332" s="9">
        <v>1.1791</v>
      </c>
      <c r="Q332" s="9">
        <v>29.282399999999999</v>
      </c>
      <c r="R332" s="9"/>
      <c r="S332" s="11"/>
    </row>
    <row r="333" spans="1:19" ht="15.75">
      <c r="A333" s="13">
        <v>51652</v>
      </c>
      <c r="B333" s="8">
        <f>CHOOSE( CONTROL!$C$32, 10.601, 10.5955) * CHOOSE(CONTROL!$C$15, $D$11, 100%, $F$11)</f>
        <v>10.601000000000001</v>
      </c>
      <c r="C333" s="8">
        <f>CHOOSE( CONTROL!$C$32, 10.6091, 10.6036) * CHOOSE(CONTROL!$C$15, $D$11, 100%, $F$11)</f>
        <v>10.6091</v>
      </c>
      <c r="D333" s="8">
        <f>CHOOSE( CONTROL!$C$32, 10.6351, 10.6295) * CHOOSE( CONTROL!$C$15, $D$11, 100%, $F$11)</f>
        <v>10.6351</v>
      </c>
      <c r="E333" s="12">
        <f>CHOOSE( CONTROL!$C$32, 10.6244, 10.6189) * CHOOSE( CONTROL!$C$15, $D$11, 100%, $F$11)</f>
        <v>10.6244</v>
      </c>
      <c r="F333" s="4">
        <f>CHOOSE( CONTROL!$C$32, 11.3134, 11.3079) * CHOOSE(CONTROL!$C$15, $D$11, 100%, $F$11)</f>
        <v>11.3134</v>
      </c>
      <c r="G333" s="8">
        <f>CHOOSE( CONTROL!$C$32, 10.3398, 10.3343) * CHOOSE( CONTROL!$C$15, $D$11, 100%, $F$11)</f>
        <v>10.3398</v>
      </c>
      <c r="H333" s="4">
        <f>CHOOSE( CONTROL!$C$32, 11.2846, 11.2792) * CHOOSE(CONTROL!$C$15, $D$11, 100%, $F$11)</f>
        <v>11.284599999999999</v>
      </c>
      <c r="I333" s="8">
        <f>CHOOSE( CONTROL!$C$32, 10.2662, 10.2608) * CHOOSE(CONTROL!$C$15, $D$11, 100%, $F$11)</f>
        <v>10.2662</v>
      </c>
      <c r="J333" s="4">
        <f>CHOOSE( CONTROL!$C$32, 10.1488, 10.1435) * CHOOSE(CONTROL!$C$15, $D$11, 100%, $F$11)</f>
        <v>10.1488</v>
      </c>
      <c r="K333" s="4"/>
      <c r="L333" s="9">
        <v>30.7165</v>
      </c>
      <c r="M333" s="9">
        <v>12.063700000000001</v>
      </c>
      <c r="N333" s="9">
        <v>4.9444999999999997</v>
      </c>
      <c r="O333" s="9">
        <v>0.37409999999999999</v>
      </c>
      <c r="P333" s="9">
        <v>1.2183999999999999</v>
      </c>
      <c r="Q333" s="9">
        <v>30.258500000000002</v>
      </c>
      <c r="R333" s="9"/>
      <c r="S333" s="11"/>
    </row>
    <row r="334" spans="1:19" ht="15.75">
      <c r="A334" s="13">
        <v>51682</v>
      </c>
      <c r="B334" s="8">
        <f>CHOOSE( CONTROL!$C$32, 10.4312, 10.4256) * CHOOSE(CONTROL!$C$15, $D$11, 100%, $F$11)</f>
        <v>10.4312</v>
      </c>
      <c r="C334" s="8">
        <f>CHOOSE( CONTROL!$C$32, 10.4393, 10.4337) * CHOOSE(CONTROL!$C$15, $D$11, 100%, $F$11)</f>
        <v>10.439299999999999</v>
      </c>
      <c r="D334" s="8">
        <f>CHOOSE( CONTROL!$C$32, 10.4654, 10.4598) * CHOOSE( CONTROL!$C$15, $D$11, 100%, $F$11)</f>
        <v>10.465400000000001</v>
      </c>
      <c r="E334" s="12">
        <f>CHOOSE( CONTROL!$C$32, 10.4547, 10.4491) * CHOOSE( CONTROL!$C$15, $D$11, 100%, $F$11)</f>
        <v>10.454700000000001</v>
      </c>
      <c r="F334" s="4">
        <f>CHOOSE( CONTROL!$C$32, 11.1436, 11.138) * CHOOSE(CONTROL!$C$15, $D$11, 100%, $F$11)</f>
        <v>11.143599999999999</v>
      </c>
      <c r="G334" s="8">
        <f>CHOOSE( CONTROL!$C$32, 10.1741, 10.1687) * CHOOSE( CONTROL!$C$15, $D$11, 100%, $F$11)</f>
        <v>10.174099999999999</v>
      </c>
      <c r="H334" s="4">
        <f>CHOOSE( CONTROL!$C$32, 11.1187, 11.1133) * CHOOSE(CONTROL!$C$15, $D$11, 100%, $F$11)</f>
        <v>11.1187</v>
      </c>
      <c r="I334" s="8">
        <f>CHOOSE( CONTROL!$C$32, 10.1038, 10.0985) * CHOOSE(CONTROL!$C$15, $D$11, 100%, $F$11)</f>
        <v>10.1038</v>
      </c>
      <c r="J334" s="4">
        <f>CHOOSE( CONTROL!$C$32, 9.9858, 9.9804) * CHOOSE(CONTROL!$C$15, $D$11, 100%, $F$11)</f>
        <v>9.9857999999999993</v>
      </c>
      <c r="K334" s="4"/>
      <c r="L334" s="9">
        <v>29.7257</v>
      </c>
      <c r="M334" s="9">
        <v>11.6745</v>
      </c>
      <c r="N334" s="9">
        <v>4.7850000000000001</v>
      </c>
      <c r="O334" s="9">
        <v>0.36199999999999999</v>
      </c>
      <c r="P334" s="9">
        <v>1.1791</v>
      </c>
      <c r="Q334" s="9">
        <v>29.282399999999999</v>
      </c>
      <c r="R334" s="9"/>
      <c r="S334" s="11"/>
    </row>
    <row r="335" spans="1:19" ht="15.75">
      <c r="A335" s="13">
        <v>51713</v>
      </c>
      <c r="B335" s="8">
        <f>CHOOSE( CONTROL!$C$32, 10.8785, 10.8729) * CHOOSE(CONTROL!$C$15, $D$11, 100%, $F$11)</f>
        <v>10.878500000000001</v>
      </c>
      <c r="C335" s="8">
        <f>CHOOSE( CONTROL!$C$32, 10.8866, 10.881) * CHOOSE(CONTROL!$C$15, $D$11, 100%, $F$11)</f>
        <v>10.8866</v>
      </c>
      <c r="D335" s="8">
        <f>CHOOSE( CONTROL!$C$32, 10.9129, 10.9073) * CHOOSE( CONTROL!$C$15, $D$11, 100%, $F$11)</f>
        <v>10.9129</v>
      </c>
      <c r="E335" s="12">
        <f>CHOOSE( CONTROL!$C$32, 10.9021, 10.8965) * CHOOSE( CONTROL!$C$15, $D$11, 100%, $F$11)</f>
        <v>10.902100000000001</v>
      </c>
      <c r="F335" s="4">
        <f>CHOOSE( CONTROL!$C$32, 11.5909, 11.5853) * CHOOSE(CONTROL!$C$15, $D$11, 100%, $F$11)</f>
        <v>11.5909</v>
      </c>
      <c r="G335" s="8">
        <f>CHOOSE( CONTROL!$C$32, 10.6113, 10.6059) * CHOOSE( CONTROL!$C$15, $D$11, 100%, $F$11)</f>
        <v>10.6113</v>
      </c>
      <c r="H335" s="4">
        <f>CHOOSE( CONTROL!$C$32, 11.5556, 11.5502) * CHOOSE(CONTROL!$C$15, $D$11, 100%, $F$11)</f>
        <v>11.5556</v>
      </c>
      <c r="I335" s="8">
        <f>CHOOSE( CONTROL!$C$32, 10.5345, 10.5291) * CHOOSE(CONTROL!$C$15, $D$11, 100%, $F$11)</f>
        <v>10.5345</v>
      </c>
      <c r="J335" s="4">
        <f>CHOOSE( CONTROL!$C$32, 10.4152, 10.4099) * CHOOSE(CONTROL!$C$15, $D$11, 100%, $F$11)</f>
        <v>10.4152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1.2183999999999999</v>
      </c>
      <c r="Q335" s="9">
        <v>30.258500000000002</v>
      </c>
      <c r="R335" s="9"/>
      <c r="S335" s="11"/>
    </row>
    <row r="336" spans="1:19" ht="15.75">
      <c r="A336" s="13">
        <v>51744</v>
      </c>
      <c r="B336" s="8">
        <f>CHOOSE( CONTROL!$C$32, 10.0415, 10.036) * CHOOSE(CONTROL!$C$15, $D$11, 100%, $F$11)</f>
        <v>10.041499999999999</v>
      </c>
      <c r="C336" s="8">
        <f>CHOOSE( CONTROL!$C$32, 10.0496, 10.044) * CHOOSE(CONTROL!$C$15, $D$11, 100%, $F$11)</f>
        <v>10.0496</v>
      </c>
      <c r="D336" s="8">
        <f>CHOOSE( CONTROL!$C$32, 10.076, 10.0704) * CHOOSE( CONTROL!$C$15, $D$11, 100%, $F$11)</f>
        <v>10.076000000000001</v>
      </c>
      <c r="E336" s="12">
        <f>CHOOSE( CONTROL!$C$32, 10.0652, 10.0596) * CHOOSE( CONTROL!$C$15, $D$11, 100%, $F$11)</f>
        <v>10.065200000000001</v>
      </c>
      <c r="F336" s="4">
        <f>CHOOSE( CONTROL!$C$32, 10.7539, 10.7484) * CHOOSE(CONTROL!$C$15, $D$11, 100%, $F$11)</f>
        <v>10.7539</v>
      </c>
      <c r="G336" s="8">
        <f>CHOOSE( CONTROL!$C$32, 9.7939, 9.7885) * CHOOSE( CONTROL!$C$15, $D$11, 100%, $F$11)</f>
        <v>9.7939000000000007</v>
      </c>
      <c r="H336" s="4">
        <f>CHOOSE( CONTROL!$C$32, 10.7382, 10.7327) * CHOOSE(CONTROL!$C$15, $D$11, 100%, $F$11)</f>
        <v>10.738200000000001</v>
      </c>
      <c r="I336" s="8">
        <f>CHOOSE( CONTROL!$C$32, 9.7308, 9.7254) * CHOOSE(CONTROL!$C$15, $D$11, 100%, $F$11)</f>
        <v>9.7308000000000003</v>
      </c>
      <c r="J336" s="4">
        <f>CHOOSE( CONTROL!$C$32, 9.6117, 9.6063) * CHOOSE(CONTROL!$C$15, $D$11, 100%, $F$11)</f>
        <v>9.6117000000000008</v>
      </c>
      <c r="K336" s="4"/>
      <c r="L336" s="9">
        <v>30.7165</v>
      </c>
      <c r="M336" s="9">
        <v>12.063700000000001</v>
      </c>
      <c r="N336" s="9">
        <v>4.9444999999999997</v>
      </c>
      <c r="O336" s="9">
        <v>0.37409999999999999</v>
      </c>
      <c r="P336" s="9">
        <v>1.2183999999999999</v>
      </c>
      <c r="Q336" s="9">
        <v>30.258500000000002</v>
      </c>
      <c r="R336" s="9"/>
      <c r="S336" s="11"/>
    </row>
    <row r="337" spans="1:19" ht="15.75">
      <c r="A337" s="13">
        <v>51774</v>
      </c>
      <c r="B337" s="8">
        <f>CHOOSE( CONTROL!$C$32, 9.8319, 9.8264) * CHOOSE(CONTROL!$C$15, $D$11, 100%, $F$11)</f>
        <v>9.8318999999999992</v>
      </c>
      <c r="C337" s="8">
        <f>CHOOSE( CONTROL!$C$32, 9.84, 9.8345) * CHOOSE(CONTROL!$C$15, $D$11, 100%, $F$11)</f>
        <v>9.84</v>
      </c>
      <c r="D337" s="8">
        <f>CHOOSE( CONTROL!$C$32, 9.8664, 9.8608) * CHOOSE( CONTROL!$C$15, $D$11, 100%, $F$11)</f>
        <v>9.8664000000000005</v>
      </c>
      <c r="E337" s="12">
        <f>CHOOSE( CONTROL!$C$32, 9.8556, 9.85) * CHOOSE( CONTROL!$C$15, $D$11, 100%, $F$11)</f>
        <v>9.8556000000000008</v>
      </c>
      <c r="F337" s="4">
        <f>CHOOSE( CONTROL!$C$32, 10.5443, 10.5388) * CHOOSE(CONTROL!$C$15, $D$11, 100%, $F$11)</f>
        <v>10.5443</v>
      </c>
      <c r="G337" s="8">
        <f>CHOOSE( CONTROL!$C$32, 9.5892, 9.5837) * CHOOSE( CONTROL!$C$15, $D$11, 100%, $F$11)</f>
        <v>9.5891999999999999</v>
      </c>
      <c r="H337" s="4">
        <f>CHOOSE( CONTROL!$C$32, 10.5335, 10.528) * CHOOSE(CONTROL!$C$15, $D$11, 100%, $F$11)</f>
        <v>10.5335</v>
      </c>
      <c r="I337" s="8">
        <f>CHOOSE( CONTROL!$C$32, 9.5292, 9.5239) * CHOOSE(CONTROL!$C$15, $D$11, 100%, $F$11)</f>
        <v>9.5291999999999994</v>
      </c>
      <c r="J337" s="4">
        <f>CHOOSE( CONTROL!$C$32, 9.4104, 9.4051) * CHOOSE(CONTROL!$C$15, $D$11, 100%, $F$11)</f>
        <v>9.4103999999999992</v>
      </c>
      <c r="K337" s="4"/>
      <c r="L337" s="9">
        <v>29.7257</v>
      </c>
      <c r="M337" s="9">
        <v>11.6745</v>
      </c>
      <c r="N337" s="9">
        <v>4.7850000000000001</v>
      </c>
      <c r="O337" s="9">
        <v>0.36199999999999999</v>
      </c>
      <c r="P337" s="9">
        <v>1.1791</v>
      </c>
      <c r="Q337" s="9">
        <v>29.282399999999999</v>
      </c>
      <c r="R337" s="9"/>
      <c r="S337" s="11"/>
    </row>
    <row r="338" spans="1:19" ht="15.75">
      <c r="A338" s="13">
        <v>51805</v>
      </c>
      <c r="B338" s="8">
        <f>10.2598 * CHOOSE(CONTROL!$C$15, $D$11, 100%, $F$11)</f>
        <v>10.2598</v>
      </c>
      <c r="C338" s="8">
        <f>10.2653 * CHOOSE(CONTROL!$C$15, $D$11, 100%, $F$11)</f>
        <v>10.2653</v>
      </c>
      <c r="D338" s="8">
        <f>10.2964 * CHOOSE( CONTROL!$C$15, $D$11, 100%, $F$11)</f>
        <v>10.2964</v>
      </c>
      <c r="E338" s="12">
        <f>10.2855 * CHOOSE( CONTROL!$C$15, $D$11, 100%, $F$11)</f>
        <v>10.285500000000001</v>
      </c>
      <c r="F338" s="4">
        <f>10.9739 * CHOOSE(CONTROL!$C$15, $D$11, 100%, $F$11)</f>
        <v>10.9739</v>
      </c>
      <c r="G338" s="8">
        <f>10.0079 * CHOOSE( CONTROL!$C$15, $D$11, 100%, $F$11)</f>
        <v>10.007899999999999</v>
      </c>
      <c r="H338" s="4">
        <f>10.9531 * CHOOSE(CONTROL!$C$15, $D$11, 100%, $F$11)</f>
        <v>10.953099999999999</v>
      </c>
      <c r="I338" s="8">
        <f>9.9427 * CHOOSE(CONTROL!$C$15, $D$11, 100%, $F$11)</f>
        <v>9.9427000000000003</v>
      </c>
      <c r="J338" s="4">
        <f>9.8229 * CHOOSE(CONTROL!$C$15, $D$11, 100%, $F$11)</f>
        <v>9.8229000000000006</v>
      </c>
      <c r="K338" s="4"/>
      <c r="L338" s="9">
        <v>31.095300000000002</v>
      </c>
      <c r="M338" s="9">
        <v>12.063700000000001</v>
      </c>
      <c r="N338" s="9">
        <v>4.9444999999999997</v>
      </c>
      <c r="O338" s="9">
        <v>0.37409999999999999</v>
      </c>
      <c r="P338" s="9">
        <v>1.2183999999999999</v>
      </c>
      <c r="Q338" s="9">
        <v>30.258500000000002</v>
      </c>
      <c r="R338" s="9"/>
      <c r="S338" s="11"/>
    </row>
    <row r="339" spans="1:19" ht="15.75">
      <c r="A339" s="13">
        <v>51835</v>
      </c>
      <c r="B339" s="8">
        <f>11.0627 * CHOOSE(CONTROL!$C$15, $D$11, 100%, $F$11)</f>
        <v>11.0627</v>
      </c>
      <c r="C339" s="8">
        <f>11.0678 * CHOOSE(CONTROL!$C$15, $D$11, 100%, $F$11)</f>
        <v>11.0678</v>
      </c>
      <c r="D339" s="8">
        <f>11.0541 * CHOOSE( CONTROL!$C$15, $D$11, 100%, $F$11)</f>
        <v>11.0541</v>
      </c>
      <c r="E339" s="12">
        <f>11.0586 * CHOOSE( CONTROL!$C$15, $D$11, 100%, $F$11)</f>
        <v>11.0586</v>
      </c>
      <c r="F339" s="4">
        <f>11.7131 * CHOOSE(CONTROL!$C$15, $D$11, 100%, $F$11)</f>
        <v>11.713100000000001</v>
      </c>
      <c r="G339" s="8">
        <f>10.8 * CHOOSE( CONTROL!$C$15, $D$11, 100%, $F$11)</f>
        <v>10.8</v>
      </c>
      <c r="H339" s="4">
        <f>11.675 * CHOOSE(CONTROL!$C$15, $D$11, 100%, $F$11)</f>
        <v>11.675000000000001</v>
      </c>
      <c r="I339" s="8">
        <f>10.7579 * CHOOSE(CONTROL!$C$15, $D$11, 100%, $F$11)</f>
        <v>10.757899999999999</v>
      </c>
      <c r="J339" s="4">
        <f>10.5941 * CHOOSE(CONTROL!$C$15, $D$11, 100%, $F$11)</f>
        <v>10.594099999999999</v>
      </c>
      <c r="K339" s="4"/>
      <c r="L339" s="9">
        <v>28.360600000000002</v>
      </c>
      <c r="M339" s="9">
        <v>11.6745</v>
      </c>
      <c r="N339" s="9">
        <v>4.7850000000000001</v>
      </c>
      <c r="O339" s="9">
        <v>0.36199999999999999</v>
      </c>
      <c r="P339" s="9">
        <v>1.2509999999999999</v>
      </c>
      <c r="Q339" s="9">
        <v>29.282399999999999</v>
      </c>
      <c r="R339" s="9"/>
      <c r="S339" s="11"/>
    </row>
    <row r="340" spans="1:19" ht="15.75">
      <c r="A340" s="13">
        <v>51866</v>
      </c>
      <c r="B340" s="8">
        <f>11.0426 * CHOOSE(CONTROL!$C$15, $D$11, 100%, $F$11)</f>
        <v>11.0426</v>
      </c>
      <c r="C340" s="8">
        <f>11.0478 * CHOOSE(CONTROL!$C$15, $D$11, 100%, $F$11)</f>
        <v>11.047800000000001</v>
      </c>
      <c r="D340" s="8">
        <f>11.0355 * CHOOSE( CONTROL!$C$15, $D$11, 100%, $F$11)</f>
        <v>11.035500000000001</v>
      </c>
      <c r="E340" s="12">
        <f>11.0394 * CHOOSE( CONTROL!$C$15, $D$11, 100%, $F$11)</f>
        <v>11.039400000000001</v>
      </c>
      <c r="F340" s="4">
        <f>11.6931 * CHOOSE(CONTROL!$C$15, $D$11, 100%, $F$11)</f>
        <v>11.693099999999999</v>
      </c>
      <c r="G340" s="8">
        <f>10.7815 * CHOOSE( CONTROL!$C$15, $D$11, 100%, $F$11)</f>
        <v>10.781499999999999</v>
      </c>
      <c r="H340" s="4">
        <f>11.6554 * CHOOSE(CONTROL!$C$15, $D$11, 100%, $F$11)</f>
        <v>11.6554</v>
      </c>
      <c r="I340" s="8">
        <f>10.7434 * CHOOSE(CONTROL!$C$15, $D$11, 100%, $F$11)</f>
        <v>10.743399999999999</v>
      </c>
      <c r="J340" s="4">
        <f>10.5748 * CHOOSE(CONTROL!$C$15, $D$11, 100%, $F$11)</f>
        <v>10.5748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30.258500000000002</v>
      </c>
      <c r="R340" s="9"/>
      <c r="S340" s="11"/>
    </row>
    <row r="341" spans="1:19" ht="15.75">
      <c r="A341" s="13">
        <v>51897</v>
      </c>
      <c r="B341" s="8">
        <f>11.4635 * CHOOSE(CONTROL!$C$15, $D$11, 100%, $F$11)</f>
        <v>11.4635</v>
      </c>
      <c r="C341" s="8">
        <f>11.4687 * CHOOSE(CONTROL!$C$15, $D$11, 100%, $F$11)</f>
        <v>11.4687</v>
      </c>
      <c r="D341" s="8">
        <f>11.4512 * CHOOSE( CONTROL!$C$15, $D$11, 100%, $F$11)</f>
        <v>11.4512</v>
      </c>
      <c r="E341" s="12">
        <f>11.457 * CHOOSE( CONTROL!$C$15, $D$11, 100%, $F$11)</f>
        <v>11.457000000000001</v>
      </c>
      <c r="F341" s="4">
        <f>12.114 * CHOOSE(CONTROL!$C$15, $D$11, 100%, $F$11)</f>
        <v>12.114000000000001</v>
      </c>
      <c r="G341" s="8">
        <f>11.1826 * CHOOSE( CONTROL!$C$15, $D$11, 100%, $F$11)</f>
        <v>11.182600000000001</v>
      </c>
      <c r="H341" s="4">
        <f>12.0666 * CHOOSE(CONTROL!$C$15, $D$11, 100%, $F$11)</f>
        <v>12.066599999999999</v>
      </c>
      <c r="I341" s="8">
        <f>11.1076 * CHOOSE(CONTROL!$C$15, $D$11, 100%, $F$11)</f>
        <v>11.1076</v>
      </c>
      <c r="J341" s="4">
        <f>10.979 * CHOOSE(CONTROL!$C$15, $D$11, 100%, $F$11)</f>
        <v>10.978999999999999</v>
      </c>
      <c r="K341" s="4"/>
      <c r="L341" s="9">
        <v>29.306000000000001</v>
      </c>
      <c r="M341" s="9">
        <v>12.063700000000001</v>
      </c>
      <c r="N341" s="9">
        <v>4.9444999999999997</v>
      </c>
      <c r="O341" s="9">
        <v>0.37409999999999999</v>
      </c>
      <c r="P341" s="9">
        <v>1.2927</v>
      </c>
      <c r="Q341" s="9">
        <v>20.593900000000001</v>
      </c>
      <c r="R341" s="9"/>
      <c r="S341" s="11"/>
    </row>
    <row r="342" spans="1:19" ht="15.75">
      <c r="A342" s="13">
        <v>51925</v>
      </c>
      <c r="B342" s="8">
        <f>10.7243 * CHOOSE(CONTROL!$C$15, $D$11, 100%, $F$11)</f>
        <v>10.724299999999999</v>
      </c>
      <c r="C342" s="8">
        <f>10.7295 * CHOOSE(CONTROL!$C$15, $D$11, 100%, $F$11)</f>
        <v>10.7295</v>
      </c>
      <c r="D342" s="8">
        <f>10.7118 * CHOOSE( CONTROL!$C$15, $D$11, 100%, $F$11)</f>
        <v>10.7118</v>
      </c>
      <c r="E342" s="12">
        <f>10.7177 * CHOOSE( CONTROL!$C$15, $D$11, 100%, $F$11)</f>
        <v>10.717700000000001</v>
      </c>
      <c r="F342" s="4">
        <f>11.3747 * CHOOSE(CONTROL!$C$15, $D$11, 100%, $F$11)</f>
        <v>11.374700000000001</v>
      </c>
      <c r="G342" s="8">
        <f>10.4605 * CHOOSE( CONTROL!$C$15, $D$11, 100%, $F$11)</f>
        <v>10.4605</v>
      </c>
      <c r="H342" s="4">
        <f>11.3445 * CHOOSE(CONTROL!$C$15, $D$11, 100%, $F$11)</f>
        <v>11.3445</v>
      </c>
      <c r="I342" s="8">
        <f>10.3973 * CHOOSE(CONTROL!$C$15, $D$11, 100%, $F$11)</f>
        <v>10.3973</v>
      </c>
      <c r="J342" s="4">
        <f>10.2692 * CHOOSE(CONTROL!$C$15, $D$11, 100%, $F$11)</f>
        <v>10.2692</v>
      </c>
      <c r="K342" s="4"/>
      <c r="L342" s="9">
        <v>26.469899999999999</v>
      </c>
      <c r="M342" s="9">
        <v>10.8962</v>
      </c>
      <c r="N342" s="9">
        <v>4.4660000000000002</v>
      </c>
      <c r="O342" s="9">
        <v>0.33789999999999998</v>
      </c>
      <c r="P342" s="9">
        <v>1.1676</v>
      </c>
      <c r="Q342" s="9">
        <v>18.600999999999999</v>
      </c>
      <c r="R342" s="9"/>
      <c r="S342" s="11"/>
    </row>
    <row r="343" spans="1:19" ht="15.75">
      <c r="A343" s="13">
        <v>51956</v>
      </c>
      <c r="B343" s="8">
        <f>10.4966 * CHOOSE(CONTROL!$C$15, $D$11, 100%, $F$11)</f>
        <v>10.496600000000001</v>
      </c>
      <c r="C343" s="8">
        <f>10.5018 * CHOOSE(CONTROL!$C$15, $D$11, 100%, $F$11)</f>
        <v>10.501799999999999</v>
      </c>
      <c r="D343" s="8">
        <f>10.4838 * CHOOSE( CONTROL!$C$15, $D$11, 100%, $F$11)</f>
        <v>10.4838</v>
      </c>
      <c r="E343" s="12">
        <f>10.4898 * CHOOSE( CONTROL!$C$15, $D$11, 100%, $F$11)</f>
        <v>10.489800000000001</v>
      </c>
      <c r="F343" s="4">
        <f>11.1471 * CHOOSE(CONTROL!$C$15, $D$11, 100%, $F$11)</f>
        <v>11.1471</v>
      </c>
      <c r="G343" s="8">
        <f>10.2379 * CHOOSE( CONTROL!$C$15, $D$11, 100%, $F$11)</f>
        <v>10.2379</v>
      </c>
      <c r="H343" s="4">
        <f>11.1221 * CHOOSE(CONTROL!$C$15, $D$11, 100%, $F$11)</f>
        <v>11.1221</v>
      </c>
      <c r="I343" s="8">
        <f>10.1774 * CHOOSE(CONTROL!$C$15, $D$11, 100%, $F$11)</f>
        <v>10.1774</v>
      </c>
      <c r="J343" s="4">
        <f>10.0506 * CHOOSE(CONTROL!$C$15, $D$11, 100%, $F$11)</f>
        <v>10.050599999999999</v>
      </c>
      <c r="K343" s="4"/>
      <c r="L343" s="9">
        <v>29.306000000000001</v>
      </c>
      <c r="M343" s="9">
        <v>12.063700000000001</v>
      </c>
      <c r="N343" s="9">
        <v>4.9444999999999997</v>
      </c>
      <c r="O343" s="9">
        <v>0.37409999999999999</v>
      </c>
      <c r="P343" s="9">
        <v>1.2927</v>
      </c>
      <c r="Q343" s="9">
        <v>20.593900000000001</v>
      </c>
      <c r="R343" s="9"/>
      <c r="S343" s="11"/>
    </row>
    <row r="344" spans="1:19" ht="15.75">
      <c r="A344" s="13">
        <v>51986</v>
      </c>
      <c r="B344" s="8">
        <f>10.6565 * CHOOSE(CONTROL!$C$15, $D$11, 100%, $F$11)</f>
        <v>10.656499999999999</v>
      </c>
      <c r="C344" s="8">
        <f>10.6611 * CHOOSE(CONTROL!$C$15, $D$11, 100%, $F$11)</f>
        <v>10.661099999999999</v>
      </c>
      <c r="D344" s="8">
        <f>10.6922 * CHOOSE( CONTROL!$C$15, $D$11, 100%, $F$11)</f>
        <v>10.6922</v>
      </c>
      <c r="E344" s="12">
        <f>10.6814 * CHOOSE( CONTROL!$C$15, $D$11, 100%, $F$11)</f>
        <v>10.6814</v>
      </c>
      <c r="F344" s="4">
        <f>11.3702 * CHOOSE(CONTROL!$C$15, $D$11, 100%, $F$11)</f>
        <v>11.370200000000001</v>
      </c>
      <c r="G344" s="8">
        <f>10.3941 * CHOOSE( CONTROL!$C$15, $D$11, 100%, $F$11)</f>
        <v>10.3941</v>
      </c>
      <c r="H344" s="4">
        <f>11.3401 * CHOOSE(CONTROL!$C$15, $D$11, 100%, $F$11)</f>
        <v>11.3401</v>
      </c>
      <c r="I344" s="8">
        <f>10.3208 * CHOOSE(CONTROL!$C$15, $D$11, 100%, $F$11)</f>
        <v>10.3208</v>
      </c>
      <c r="J344" s="4">
        <f>10.2034 * CHOOSE(CONTROL!$C$15, $D$11, 100%, $F$11)</f>
        <v>10.2034</v>
      </c>
      <c r="K344" s="4"/>
      <c r="L344" s="9">
        <v>30.092199999999998</v>
      </c>
      <c r="M344" s="9">
        <v>11.6745</v>
      </c>
      <c r="N344" s="9">
        <v>4.7850000000000001</v>
      </c>
      <c r="O344" s="9">
        <v>0.36199999999999999</v>
      </c>
      <c r="P344" s="9">
        <v>1.1791</v>
      </c>
      <c r="Q344" s="9">
        <v>19.929600000000001</v>
      </c>
      <c r="R344" s="9"/>
      <c r="S344" s="11"/>
    </row>
    <row r="345" spans="1:19" ht="15.75">
      <c r="A345" s="13">
        <v>52017</v>
      </c>
      <c r="B345" s="8">
        <f>CHOOSE( CONTROL!$C$32, 10.9466, 10.941) * CHOOSE(CONTROL!$C$15, $D$11, 100%, $F$11)</f>
        <v>10.9466</v>
      </c>
      <c r="C345" s="8">
        <f>CHOOSE( CONTROL!$C$32, 10.9546, 10.9491) * CHOOSE(CONTROL!$C$15, $D$11, 100%, $F$11)</f>
        <v>10.954599999999999</v>
      </c>
      <c r="D345" s="8">
        <f>CHOOSE( CONTROL!$C$32, 10.9806, 10.9751) * CHOOSE( CONTROL!$C$15, $D$11, 100%, $F$11)</f>
        <v>10.980600000000001</v>
      </c>
      <c r="E345" s="12">
        <f>CHOOSE( CONTROL!$C$32, 10.97, 10.9644) * CHOOSE( CONTROL!$C$15, $D$11, 100%, $F$11)</f>
        <v>10.97</v>
      </c>
      <c r="F345" s="4">
        <f>CHOOSE( CONTROL!$C$32, 11.659, 11.6534) * CHOOSE(CONTROL!$C$15, $D$11, 100%, $F$11)</f>
        <v>11.659000000000001</v>
      </c>
      <c r="G345" s="8">
        <f>CHOOSE( CONTROL!$C$32, 10.6772, 10.6718) * CHOOSE( CONTROL!$C$15, $D$11, 100%, $F$11)</f>
        <v>10.677199999999999</v>
      </c>
      <c r="H345" s="4">
        <f>CHOOSE( CONTROL!$C$32, 11.6221, 11.6167) * CHOOSE(CONTROL!$C$15, $D$11, 100%, $F$11)</f>
        <v>11.6221</v>
      </c>
      <c r="I345" s="8">
        <f>CHOOSE( CONTROL!$C$32, 10.5981, 10.5927) * CHOOSE(CONTROL!$C$15, $D$11, 100%, $F$11)</f>
        <v>10.598100000000001</v>
      </c>
      <c r="J345" s="4">
        <f>CHOOSE( CONTROL!$C$32, 10.4806, 10.4752) * CHOOSE(CONTROL!$C$15, $D$11, 100%, $F$11)</f>
        <v>10.480600000000001</v>
      </c>
      <c r="K345" s="4"/>
      <c r="L345" s="9">
        <v>30.7165</v>
      </c>
      <c r="M345" s="9">
        <v>12.063700000000001</v>
      </c>
      <c r="N345" s="9">
        <v>4.9444999999999997</v>
      </c>
      <c r="O345" s="9">
        <v>0.37409999999999999</v>
      </c>
      <c r="P345" s="9">
        <v>1.2183999999999999</v>
      </c>
      <c r="Q345" s="9">
        <v>20.593900000000001</v>
      </c>
      <c r="R345" s="9"/>
      <c r="S345" s="11"/>
    </row>
    <row r="346" spans="1:19" ht="15.75">
      <c r="A346" s="13">
        <v>52047</v>
      </c>
      <c r="B346" s="8">
        <f>CHOOSE( CONTROL!$C$32, 10.7711, 10.7656) * CHOOSE(CONTROL!$C$15, $D$11, 100%, $F$11)</f>
        <v>10.771100000000001</v>
      </c>
      <c r="C346" s="8">
        <f>CHOOSE( CONTROL!$C$32, 10.7792, 10.7737) * CHOOSE(CONTROL!$C$15, $D$11, 100%, $F$11)</f>
        <v>10.779199999999999</v>
      </c>
      <c r="D346" s="8">
        <f>CHOOSE( CONTROL!$C$32, 10.8054, 10.7998) * CHOOSE( CONTROL!$C$15, $D$11, 100%, $F$11)</f>
        <v>10.805400000000001</v>
      </c>
      <c r="E346" s="12">
        <f>CHOOSE( CONTROL!$C$32, 10.7947, 10.7891) * CHOOSE( CONTROL!$C$15, $D$11, 100%, $F$11)</f>
        <v>10.794700000000001</v>
      </c>
      <c r="F346" s="4">
        <f>CHOOSE( CONTROL!$C$32, 11.4835, 11.478) * CHOOSE(CONTROL!$C$15, $D$11, 100%, $F$11)</f>
        <v>11.483499999999999</v>
      </c>
      <c r="G346" s="8">
        <f>CHOOSE( CONTROL!$C$32, 10.5062, 10.5007) * CHOOSE( CONTROL!$C$15, $D$11, 100%, $F$11)</f>
        <v>10.5062</v>
      </c>
      <c r="H346" s="4">
        <f>CHOOSE( CONTROL!$C$32, 11.4508, 11.4453) * CHOOSE(CONTROL!$C$15, $D$11, 100%, $F$11)</f>
        <v>11.450799999999999</v>
      </c>
      <c r="I346" s="8">
        <f>CHOOSE( CONTROL!$C$32, 10.4304, 10.425) * CHOOSE(CONTROL!$C$15, $D$11, 100%, $F$11)</f>
        <v>10.430400000000001</v>
      </c>
      <c r="J346" s="4">
        <f>CHOOSE( CONTROL!$C$32, 10.3122, 10.3068) * CHOOSE(CONTROL!$C$15, $D$11, 100%, $F$11)</f>
        <v>10.312200000000001</v>
      </c>
      <c r="K346" s="4"/>
      <c r="L346" s="9">
        <v>29.7257</v>
      </c>
      <c r="M346" s="9">
        <v>11.6745</v>
      </c>
      <c r="N346" s="9">
        <v>4.7850000000000001</v>
      </c>
      <c r="O346" s="9">
        <v>0.36199999999999999</v>
      </c>
      <c r="P346" s="9">
        <v>1.1791</v>
      </c>
      <c r="Q346" s="9">
        <v>19.929600000000001</v>
      </c>
      <c r="R346" s="9"/>
      <c r="S346" s="11"/>
    </row>
    <row r="347" spans="1:19" ht="15.75">
      <c r="A347" s="13">
        <v>52078</v>
      </c>
      <c r="B347" s="8">
        <f>CHOOSE( CONTROL!$C$32, 11.2331, 11.2275) * CHOOSE(CONTROL!$C$15, $D$11, 100%, $F$11)</f>
        <v>11.2331</v>
      </c>
      <c r="C347" s="8">
        <f>CHOOSE( CONTROL!$C$32, 11.2412, 11.2356) * CHOOSE(CONTROL!$C$15, $D$11, 100%, $F$11)</f>
        <v>11.241199999999999</v>
      </c>
      <c r="D347" s="8">
        <f>CHOOSE( CONTROL!$C$32, 11.2675, 11.2619) * CHOOSE( CONTROL!$C$15, $D$11, 100%, $F$11)</f>
        <v>11.2675</v>
      </c>
      <c r="E347" s="12">
        <f>CHOOSE( CONTROL!$C$32, 11.2567, 11.2511) * CHOOSE( CONTROL!$C$15, $D$11, 100%, $F$11)</f>
        <v>11.2567</v>
      </c>
      <c r="F347" s="4">
        <f>CHOOSE( CONTROL!$C$32, 11.9455, 11.9399) * CHOOSE(CONTROL!$C$15, $D$11, 100%, $F$11)</f>
        <v>11.945499999999999</v>
      </c>
      <c r="G347" s="8">
        <f>CHOOSE( CONTROL!$C$32, 10.9576, 10.9522) * CHOOSE( CONTROL!$C$15, $D$11, 100%, $F$11)</f>
        <v>10.957599999999999</v>
      </c>
      <c r="H347" s="4">
        <f>CHOOSE( CONTROL!$C$32, 11.902, 11.8965) * CHOOSE(CONTROL!$C$15, $D$11, 100%, $F$11)</f>
        <v>11.901999999999999</v>
      </c>
      <c r="I347" s="8">
        <f>CHOOSE( CONTROL!$C$32, 10.8751, 10.8697) * CHOOSE(CONTROL!$C$15, $D$11, 100%, $F$11)</f>
        <v>10.8751</v>
      </c>
      <c r="J347" s="4">
        <f>CHOOSE( CONTROL!$C$32, 10.7557, 10.7503) * CHOOSE(CONTROL!$C$15, $D$11, 100%, $F$11)</f>
        <v>10.755699999999999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1.2183999999999999</v>
      </c>
      <c r="Q347" s="9">
        <v>20.593900000000001</v>
      </c>
      <c r="R347" s="9"/>
      <c r="S347" s="11"/>
    </row>
    <row r="348" spans="1:19" ht="15.75">
      <c r="A348" s="13">
        <v>52109</v>
      </c>
      <c r="B348" s="8">
        <f>CHOOSE( CONTROL!$C$32, 10.3688, 10.3632) * CHOOSE(CONTROL!$C$15, $D$11, 100%, $F$11)</f>
        <v>10.3688</v>
      </c>
      <c r="C348" s="8">
        <f>CHOOSE( CONTROL!$C$32, 10.3768, 10.3713) * CHOOSE(CONTROL!$C$15, $D$11, 100%, $F$11)</f>
        <v>10.376799999999999</v>
      </c>
      <c r="D348" s="8">
        <f>CHOOSE( CONTROL!$C$32, 10.4032, 10.3977) * CHOOSE( CONTROL!$C$15, $D$11, 100%, $F$11)</f>
        <v>10.4032</v>
      </c>
      <c r="E348" s="12">
        <f>CHOOSE( CONTROL!$C$32, 10.3924, 10.3869) * CHOOSE( CONTROL!$C$15, $D$11, 100%, $F$11)</f>
        <v>10.3924</v>
      </c>
      <c r="F348" s="4">
        <f>CHOOSE( CONTROL!$C$32, 11.0811, 11.0756) * CHOOSE(CONTROL!$C$15, $D$11, 100%, $F$11)</f>
        <v>11.081099999999999</v>
      </c>
      <c r="G348" s="8">
        <f>CHOOSE( CONTROL!$C$32, 10.1135, 10.1081) * CHOOSE( CONTROL!$C$15, $D$11, 100%, $F$11)</f>
        <v>10.1135</v>
      </c>
      <c r="H348" s="4">
        <f>CHOOSE( CONTROL!$C$32, 11.0578, 11.0523) * CHOOSE(CONTROL!$C$15, $D$11, 100%, $F$11)</f>
        <v>11.0578</v>
      </c>
      <c r="I348" s="8">
        <f>CHOOSE( CONTROL!$C$32, 10.0451, 10.0397) * CHOOSE(CONTROL!$C$15, $D$11, 100%, $F$11)</f>
        <v>10.0451</v>
      </c>
      <c r="J348" s="4">
        <f>CHOOSE( CONTROL!$C$32, 9.9258, 9.9205) * CHOOSE(CONTROL!$C$15, $D$11, 100%, $F$11)</f>
        <v>9.9258000000000006</v>
      </c>
      <c r="K348" s="4"/>
      <c r="L348" s="9">
        <v>30.7165</v>
      </c>
      <c r="M348" s="9">
        <v>12.063700000000001</v>
      </c>
      <c r="N348" s="9">
        <v>4.9444999999999997</v>
      </c>
      <c r="O348" s="9">
        <v>0.37409999999999999</v>
      </c>
      <c r="P348" s="9">
        <v>1.2183999999999999</v>
      </c>
      <c r="Q348" s="9">
        <v>20.593900000000001</v>
      </c>
      <c r="R348" s="9"/>
      <c r="S348" s="11"/>
    </row>
    <row r="349" spans="1:19" ht="15.75">
      <c r="A349" s="13">
        <v>52139</v>
      </c>
      <c r="B349" s="8">
        <f>CHOOSE( CONTROL!$C$32, 10.1523, 10.1467) * CHOOSE(CONTROL!$C$15, $D$11, 100%, $F$11)</f>
        <v>10.1523</v>
      </c>
      <c r="C349" s="8">
        <f>CHOOSE( CONTROL!$C$32, 10.1604, 10.1548) * CHOOSE(CONTROL!$C$15, $D$11, 100%, $F$11)</f>
        <v>10.160399999999999</v>
      </c>
      <c r="D349" s="8">
        <f>CHOOSE( CONTROL!$C$32, 10.1867, 10.1812) * CHOOSE( CONTROL!$C$15, $D$11, 100%, $F$11)</f>
        <v>10.1867</v>
      </c>
      <c r="E349" s="12">
        <f>CHOOSE( CONTROL!$C$32, 10.1759, 10.1704) * CHOOSE( CONTROL!$C$15, $D$11, 100%, $F$11)</f>
        <v>10.1759</v>
      </c>
      <c r="F349" s="4">
        <f>CHOOSE( CONTROL!$C$32, 10.8647, 10.8591) * CHOOSE(CONTROL!$C$15, $D$11, 100%, $F$11)</f>
        <v>10.864699999999999</v>
      </c>
      <c r="G349" s="8">
        <f>CHOOSE( CONTROL!$C$32, 9.9021, 9.8966) * CHOOSE( CONTROL!$C$15, $D$11, 100%, $F$11)</f>
        <v>9.9021000000000008</v>
      </c>
      <c r="H349" s="4">
        <f>CHOOSE( CONTROL!$C$32, 10.8464, 10.8409) * CHOOSE(CONTROL!$C$15, $D$11, 100%, $F$11)</f>
        <v>10.846399999999999</v>
      </c>
      <c r="I349" s="8">
        <f>CHOOSE( CONTROL!$C$32, 9.837, 9.8316) * CHOOSE(CONTROL!$C$15, $D$11, 100%, $F$11)</f>
        <v>9.8369999999999997</v>
      </c>
      <c r="J349" s="4">
        <f>CHOOSE( CONTROL!$C$32, 9.718, 9.7127) * CHOOSE(CONTROL!$C$15, $D$11, 100%, $F$11)</f>
        <v>9.718</v>
      </c>
      <c r="K349" s="4"/>
      <c r="L349" s="9">
        <v>29.7257</v>
      </c>
      <c r="M349" s="9">
        <v>11.6745</v>
      </c>
      <c r="N349" s="9">
        <v>4.7850000000000001</v>
      </c>
      <c r="O349" s="9">
        <v>0.36199999999999999</v>
      </c>
      <c r="P349" s="9">
        <v>1.1791</v>
      </c>
      <c r="Q349" s="9">
        <v>19.929600000000001</v>
      </c>
      <c r="R349" s="9"/>
      <c r="S349" s="11"/>
    </row>
    <row r="350" spans="1:19" ht="15.75">
      <c r="A350" s="13">
        <v>52170</v>
      </c>
      <c r="B350" s="8">
        <f>10.5944 * CHOOSE(CONTROL!$C$15, $D$11, 100%, $F$11)</f>
        <v>10.5944</v>
      </c>
      <c r="C350" s="8">
        <f>10.5999 * CHOOSE(CONTROL!$C$15, $D$11, 100%, $F$11)</f>
        <v>10.5999</v>
      </c>
      <c r="D350" s="8">
        <f>10.631 * CHOOSE( CONTROL!$C$15, $D$11, 100%, $F$11)</f>
        <v>10.631</v>
      </c>
      <c r="E350" s="12">
        <f>10.6201 * CHOOSE( CONTROL!$C$15, $D$11, 100%, $F$11)</f>
        <v>10.620100000000001</v>
      </c>
      <c r="F350" s="4">
        <f>11.3085 * CHOOSE(CONTROL!$C$15, $D$11, 100%, $F$11)</f>
        <v>11.3085</v>
      </c>
      <c r="G350" s="8">
        <f>10.3347 * CHOOSE( CONTROL!$C$15, $D$11, 100%, $F$11)</f>
        <v>10.3347</v>
      </c>
      <c r="H350" s="4">
        <f>11.2799 * CHOOSE(CONTROL!$C$15, $D$11, 100%, $F$11)</f>
        <v>11.2799</v>
      </c>
      <c r="I350" s="8">
        <f>10.2642 * CHOOSE(CONTROL!$C$15, $D$11, 100%, $F$11)</f>
        <v>10.264200000000001</v>
      </c>
      <c r="J350" s="4">
        <f>10.1441 * CHOOSE(CONTROL!$C$15, $D$11, 100%, $F$11)</f>
        <v>10.1441</v>
      </c>
      <c r="K350" s="4"/>
      <c r="L350" s="9">
        <v>31.095300000000002</v>
      </c>
      <c r="M350" s="9">
        <v>12.063700000000001</v>
      </c>
      <c r="N350" s="9">
        <v>4.9444999999999997</v>
      </c>
      <c r="O350" s="9">
        <v>0.37409999999999999</v>
      </c>
      <c r="P350" s="9">
        <v>1.2183999999999999</v>
      </c>
      <c r="Q350" s="9">
        <v>20.593900000000001</v>
      </c>
      <c r="R350" s="9"/>
      <c r="S350" s="11"/>
    </row>
    <row r="351" spans="1:19" ht="15.75">
      <c r="A351" s="13">
        <v>52200</v>
      </c>
      <c r="B351" s="8">
        <f>11.4235 * CHOOSE(CONTROL!$C$15, $D$11, 100%, $F$11)</f>
        <v>11.423500000000001</v>
      </c>
      <c r="C351" s="8">
        <f>11.4287 * CHOOSE(CONTROL!$C$15, $D$11, 100%, $F$11)</f>
        <v>11.428699999999999</v>
      </c>
      <c r="D351" s="8">
        <f>11.4149 * CHOOSE( CONTROL!$C$15, $D$11, 100%, $F$11)</f>
        <v>11.414899999999999</v>
      </c>
      <c r="E351" s="12">
        <f>11.4194 * CHOOSE( CONTROL!$C$15, $D$11, 100%, $F$11)</f>
        <v>11.4194</v>
      </c>
      <c r="F351" s="4">
        <f>12.074 * CHOOSE(CONTROL!$C$15, $D$11, 100%, $F$11)</f>
        <v>12.074</v>
      </c>
      <c r="G351" s="8">
        <f>11.1525 * CHOOSE( CONTROL!$C$15, $D$11, 100%, $F$11)</f>
        <v>11.1525</v>
      </c>
      <c r="H351" s="4">
        <f>12.0275 * CHOOSE(CONTROL!$C$15, $D$11, 100%, $F$11)</f>
        <v>12.0275</v>
      </c>
      <c r="I351" s="8">
        <f>11.1046 * CHOOSE(CONTROL!$C$15, $D$11, 100%, $F$11)</f>
        <v>11.1046</v>
      </c>
      <c r="J351" s="4">
        <f>10.9405 * CHOOSE(CONTROL!$C$15, $D$11, 100%, $F$11)</f>
        <v>10.9405</v>
      </c>
      <c r="K351" s="4"/>
      <c r="L351" s="9">
        <v>28.360600000000002</v>
      </c>
      <c r="M351" s="9">
        <v>11.6745</v>
      </c>
      <c r="N351" s="9">
        <v>4.7850000000000001</v>
      </c>
      <c r="O351" s="9">
        <v>0.36199999999999999</v>
      </c>
      <c r="P351" s="9">
        <v>1.2509999999999999</v>
      </c>
      <c r="Q351" s="9">
        <v>19.929600000000001</v>
      </c>
      <c r="R351" s="9"/>
      <c r="S351" s="11"/>
    </row>
    <row r="352" spans="1:19" ht="15.75">
      <c r="A352" s="13">
        <v>52231</v>
      </c>
      <c r="B352" s="8">
        <f>11.4028 * CHOOSE(CONTROL!$C$15, $D$11, 100%, $F$11)</f>
        <v>11.402799999999999</v>
      </c>
      <c r="C352" s="8">
        <f>11.408 * CHOOSE(CONTROL!$C$15, $D$11, 100%, $F$11)</f>
        <v>11.407999999999999</v>
      </c>
      <c r="D352" s="8">
        <f>11.3957 * CHOOSE( CONTROL!$C$15, $D$11, 100%, $F$11)</f>
        <v>11.3957</v>
      </c>
      <c r="E352" s="12">
        <f>11.3996 * CHOOSE( CONTROL!$C$15, $D$11, 100%, $F$11)</f>
        <v>11.3996</v>
      </c>
      <c r="F352" s="4">
        <f>12.0533 * CHOOSE(CONTROL!$C$15, $D$11, 100%, $F$11)</f>
        <v>12.0533</v>
      </c>
      <c r="G352" s="8">
        <f>11.1333 * CHOOSE( CONTROL!$C$15, $D$11, 100%, $F$11)</f>
        <v>11.1333</v>
      </c>
      <c r="H352" s="4">
        <f>12.0072 * CHOOSE(CONTROL!$C$15, $D$11, 100%, $F$11)</f>
        <v>12.007199999999999</v>
      </c>
      <c r="I352" s="8">
        <f>11.0894 * CHOOSE(CONTROL!$C$15, $D$11, 100%, $F$11)</f>
        <v>11.089399999999999</v>
      </c>
      <c r="J352" s="4">
        <f>10.9206 * CHOOSE(CONTROL!$C$15, $D$11, 100%, $F$11)</f>
        <v>10.9206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20.593900000000001</v>
      </c>
      <c r="R352" s="9"/>
      <c r="S352" s="11"/>
    </row>
    <row r="353" spans="1:19" ht="15.75">
      <c r="A353" s="13">
        <v>52262</v>
      </c>
      <c r="B353" s="8">
        <f>11.8375 * CHOOSE(CONTROL!$C$15, $D$11, 100%, $F$11)</f>
        <v>11.8375</v>
      </c>
      <c r="C353" s="8">
        <f>11.8427 * CHOOSE(CONTROL!$C$15, $D$11, 100%, $F$11)</f>
        <v>11.842700000000001</v>
      </c>
      <c r="D353" s="8">
        <f>11.8251 * CHOOSE( CONTROL!$C$15, $D$11, 100%, $F$11)</f>
        <v>11.825100000000001</v>
      </c>
      <c r="E353" s="12">
        <f>11.831 * CHOOSE( CONTROL!$C$15, $D$11, 100%, $F$11)</f>
        <v>11.831</v>
      </c>
      <c r="F353" s="4">
        <f>12.488 * CHOOSE(CONTROL!$C$15, $D$11, 100%, $F$11)</f>
        <v>12.488</v>
      </c>
      <c r="G353" s="8">
        <f>11.5479 * CHOOSE( CONTROL!$C$15, $D$11, 100%, $F$11)</f>
        <v>11.5479</v>
      </c>
      <c r="H353" s="4">
        <f>12.4318 * CHOOSE(CONTROL!$C$15, $D$11, 100%, $F$11)</f>
        <v>12.431800000000001</v>
      </c>
      <c r="I353" s="8">
        <f>11.4669 * CHOOSE(CONTROL!$C$15, $D$11, 100%, $F$11)</f>
        <v>11.466900000000001</v>
      </c>
      <c r="J353" s="4">
        <f>11.338 * CHOOSE(CONTROL!$C$15, $D$11, 100%, $F$11)</f>
        <v>11.337999999999999</v>
      </c>
      <c r="K353" s="4"/>
      <c r="L353" s="9">
        <v>29.306000000000001</v>
      </c>
      <c r="M353" s="9">
        <v>12.063700000000001</v>
      </c>
      <c r="N353" s="9">
        <v>4.9444999999999997</v>
      </c>
      <c r="O353" s="9">
        <v>0.37409999999999999</v>
      </c>
      <c r="P353" s="9">
        <v>1.2927</v>
      </c>
      <c r="Q353" s="9">
        <v>20.5288</v>
      </c>
      <c r="R353" s="9"/>
      <c r="S353" s="11"/>
    </row>
    <row r="354" spans="1:19" ht="15.75">
      <c r="A354" s="13">
        <v>52290</v>
      </c>
      <c r="B354" s="8">
        <f>11.0741 * CHOOSE(CONTROL!$C$15, $D$11, 100%, $F$11)</f>
        <v>11.0741</v>
      </c>
      <c r="C354" s="8">
        <f>11.0793 * CHOOSE(CONTROL!$C$15, $D$11, 100%, $F$11)</f>
        <v>11.0793</v>
      </c>
      <c r="D354" s="8">
        <f>11.0616 * CHOOSE( CONTROL!$C$15, $D$11, 100%, $F$11)</f>
        <v>11.0616</v>
      </c>
      <c r="E354" s="12">
        <f>11.0675 * CHOOSE( CONTROL!$C$15, $D$11, 100%, $F$11)</f>
        <v>11.067500000000001</v>
      </c>
      <c r="F354" s="4">
        <f>11.7245 * CHOOSE(CONTROL!$C$15, $D$11, 100%, $F$11)</f>
        <v>11.724500000000001</v>
      </c>
      <c r="G354" s="8">
        <f>10.8022 * CHOOSE( CONTROL!$C$15, $D$11, 100%, $F$11)</f>
        <v>10.802199999999999</v>
      </c>
      <c r="H354" s="4">
        <f>11.6862 * CHOOSE(CONTROL!$C$15, $D$11, 100%, $F$11)</f>
        <v>11.686199999999999</v>
      </c>
      <c r="I354" s="8">
        <f>10.7333 * CHOOSE(CONTROL!$C$15, $D$11, 100%, $F$11)</f>
        <v>10.7333</v>
      </c>
      <c r="J354" s="4">
        <f>10.605 * CHOOSE(CONTROL!$C$15, $D$11, 100%, $F$11)</f>
        <v>10.605</v>
      </c>
      <c r="K354" s="4"/>
      <c r="L354" s="9">
        <v>26.469899999999999</v>
      </c>
      <c r="M354" s="9">
        <v>10.8962</v>
      </c>
      <c r="N354" s="9">
        <v>4.4660000000000002</v>
      </c>
      <c r="O354" s="9">
        <v>0.33789999999999998</v>
      </c>
      <c r="P354" s="9">
        <v>1.1676</v>
      </c>
      <c r="Q354" s="9">
        <v>18.542200000000001</v>
      </c>
      <c r="R354" s="9"/>
      <c r="S354" s="11"/>
    </row>
    <row r="355" spans="1:19" ht="15.75">
      <c r="A355" s="13">
        <v>52321</v>
      </c>
      <c r="B355" s="8">
        <f>10.8389 * CHOOSE(CONTROL!$C$15, $D$11, 100%, $F$11)</f>
        <v>10.838900000000001</v>
      </c>
      <c r="C355" s="8">
        <f>10.8441 * CHOOSE(CONTROL!$C$15, $D$11, 100%, $F$11)</f>
        <v>10.844099999999999</v>
      </c>
      <c r="D355" s="8">
        <f>10.8261 * CHOOSE( CONTROL!$C$15, $D$11, 100%, $F$11)</f>
        <v>10.8261</v>
      </c>
      <c r="E355" s="12">
        <f>10.8321 * CHOOSE( CONTROL!$C$15, $D$11, 100%, $F$11)</f>
        <v>10.832100000000001</v>
      </c>
      <c r="F355" s="4">
        <f>11.4894 * CHOOSE(CONTROL!$C$15, $D$11, 100%, $F$11)</f>
        <v>11.4894</v>
      </c>
      <c r="G355" s="8">
        <f>10.5722 * CHOOSE( CONTROL!$C$15, $D$11, 100%, $F$11)</f>
        <v>10.5722</v>
      </c>
      <c r="H355" s="4">
        <f>11.4565 * CHOOSE(CONTROL!$C$15, $D$11, 100%, $F$11)</f>
        <v>11.4565</v>
      </c>
      <c r="I355" s="8">
        <f>10.5063 * CHOOSE(CONTROL!$C$15, $D$11, 100%, $F$11)</f>
        <v>10.5063</v>
      </c>
      <c r="J355" s="4">
        <f>10.3793 * CHOOSE(CONTROL!$C$15, $D$11, 100%, $F$11)</f>
        <v>10.379300000000001</v>
      </c>
      <c r="K355" s="4"/>
      <c r="L355" s="9">
        <v>29.306000000000001</v>
      </c>
      <c r="M355" s="9">
        <v>12.063700000000001</v>
      </c>
      <c r="N355" s="9">
        <v>4.9444999999999997</v>
      </c>
      <c r="O355" s="9">
        <v>0.37409999999999999</v>
      </c>
      <c r="P355" s="9">
        <v>1.2927</v>
      </c>
      <c r="Q355" s="9">
        <v>20.5288</v>
      </c>
      <c r="R355" s="9"/>
      <c r="S355" s="11"/>
    </row>
    <row r="356" spans="1:19" ht="15.75">
      <c r="A356" s="13">
        <v>52351</v>
      </c>
      <c r="B356" s="8">
        <f>11.004 * CHOOSE(CONTROL!$C$15, $D$11, 100%, $F$11)</f>
        <v>11.004</v>
      </c>
      <c r="C356" s="8">
        <f>11.0086 * CHOOSE(CONTROL!$C$15, $D$11, 100%, $F$11)</f>
        <v>11.008599999999999</v>
      </c>
      <c r="D356" s="8">
        <f>11.0397 * CHOOSE( CONTROL!$C$15, $D$11, 100%, $F$11)</f>
        <v>11.0397</v>
      </c>
      <c r="E356" s="12">
        <f>11.0289 * CHOOSE( CONTROL!$C$15, $D$11, 100%, $F$11)</f>
        <v>11.0289</v>
      </c>
      <c r="F356" s="4">
        <f>11.7178 * CHOOSE(CONTROL!$C$15, $D$11, 100%, $F$11)</f>
        <v>11.7178</v>
      </c>
      <c r="G356" s="8">
        <f>10.7336 * CHOOSE( CONTROL!$C$15, $D$11, 100%, $F$11)</f>
        <v>10.733599999999999</v>
      </c>
      <c r="H356" s="4">
        <f>11.6796 * CHOOSE(CONTROL!$C$15, $D$11, 100%, $F$11)</f>
        <v>11.679600000000001</v>
      </c>
      <c r="I356" s="8">
        <f>10.6546 * CHOOSE(CONTROL!$C$15, $D$11, 100%, $F$11)</f>
        <v>10.6546</v>
      </c>
      <c r="J356" s="4">
        <f>10.537 * CHOOSE(CONTROL!$C$15, $D$11, 100%, $F$11)</f>
        <v>10.537000000000001</v>
      </c>
      <c r="K356" s="4"/>
      <c r="L356" s="9">
        <v>30.092199999999998</v>
      </c>
      <c r="M356" s="9">
        <v>11.6745</v>
      </c>
      <c r="N356" s="9">
        <v>4.7850000000000001</v>
      </c>
      <c r="O356" s="9">
        <v>0.36199999999999999</v>
      </c>
      <c r="P356" s="9">
        <v>1.1791</v>
      </c>
      <c r="Q356" s="9">
        <v>19.866599999999998</v>
      </c>
      <c r="R356" s="9"/>
      <c r="S356" s="11"/>
    </row>
    <row r="357" spans="1:19" ht="15.75">
      <c r="A357" s="13">
        <v>52382</v>
      </c>
      <c r="B357" s="8">
        <f>CHOOSE( CONTROL!$C$32, 11.3034, 11.2978) * CHOOSE(CONTROL!$C$15, $D$11, 100%, $F$11)</f>
        <v>11.3034</v>
      </c>
      <c r="C357" s="8">
        <f>CHOOSE( CONTROL!$C$32, 11.3115, 11.3059) * CHOOSE(CONTROL!$C$15, $D$11, 100%, $F$11)</f>
        <v>11.311500000000001</v>
      </c>
      <c r="D357" s="8">
        <f>CHOOSE( CONTROL!$C$32, 11.3374, 11.3319) * CHOOSE( CONTROL!$C$15, $D$11, 100%, $F$11)</f>
        <v>11.337400000000001</v>
      </c>
      <c r="E357" s="12">
        <f>CHOOSE( CONTROL!$C$32, 11.3268, 11.3212) * CHOOSE( CONTROL!$C$15, $D$11, 100%, $F$11)</f>
        <v>11.3268</v>
      </c>
      <c r="F357" s="4">
        <f>CHOOSE( CONTROL!$C$32, 12.0158, 12.0102) * CHOOSE(CONTROL!$C$15, $D$11, 100%, $F$11)</f>
        <v>12.0158</v>
      </c>
      <c r="G357" s="8">
        <f>CHOOSE( CONTROL!$C$32, 11.0257, 11.0203) * CHOOSE( CONTROL!$C$15, $D$11, 100%, $F$11)</f>
        <v>11.025700000000001</v>
      </c>
      <c r="H357" s="4">
        <f>CHOOSE( CONTROL!$C$32, 11.9706, 11.9652) * CHOOSE(CONTROL!$C$15, $D$11, 100%, $F$11)</f>
        <v>11.970599999999999</v>
      </c>
      <c r="I357" s="8">
        <f>CHOOSE( CONTROL!$C$32, 10.9408, 10.9355) * CHOOSE(CONTROL!$C$15, $D$11, 100%, $F$11)</f>
        <v>10.940799999999999</v>
      </c>
      <c r="J357" s="4">
        <f>CHOOSE( CONTROL!$C$32, 10.8231, 10.8178) * CHOOSE(CONTROL!$C$15, $D$11, 100%, $F$11)</f>
        <v>10.8231</v>
      </c>
      <c r="K357" s="4"/>
      <c r="L357" s="9">
        <v>30.7165</v>
      </c>
      <c r="M357" s="9">
        <v>12.063700000000001</v>
      </c>
      <c r="N357" s="9">
        <v>4.9444999999999997</v>
      </c>
      <c r="O357" s="9">
        <v>0.37409999999999999</v>
      </c>
      <c r="P357" s="9">
        <v>1.2183999999999999</v>
      </c>
      <c r="Q357" s="9">
        <v>20.5288</v>
      </c>
      <c r="R357" s="9"/>
      <c r="S357" s="11"/>
    </row>
    <row r="358" spans="1:19" ht="15.75">
      <c r="A358" s="13">
        <v>52412</v>
      </c>
      <c r="B358" s="8">
        <f>CHOOSE( CONTROL!$C$32, 11.1222, 11.1167) * CHOOSE(CONTROL!$C$15, $D$11, 100%, $F$11)</f>
        <v>11.122199999999999</v>
      </c>
      <c r="C358" s="8">
        <f>CHOOSE( CONTROL!$C$32, 11.1303, 11.1247) * CHOOSE(CONTROL!$C$15, $D$11, 100%, $F$11)</f>
        <v>11.1303</v>
      </c>
      <c r="D358" s="8">
        <f>CHOOSE( CONTROL!$C$32, 11.1565, 11.1509) * CHOOSE( CONTROL!$C$15, $D$11, 100%, $F$11)</f>
        <v>11.156499999999999</v>
      </c>
      <c r="E358" s="12">
        <f>CHOOSE( CONTROL!$C$32, 11.1458, 11.1402) * CHOOSE( CONTROL!$C$15, $D$11, 100%, $F$11)</f>
        <v>11.145799999999999</v>
      </c>
      <c r="F358" s="4">
        <f>CHOOSE( CONTROL!$C$32, 11.8346, 11.829) * CHOOSE(CONTROL!$C$15, $D$11, 100%, $F$11)</f>
        <v>11.8346</v>
      </c>
      <c r="G358" s="8">
        <f>CHOOSE( CONTROL!$C$32, 10.8491, 10.8436) * CHOOSE( CONTROL!$C$15, $D$11, 100%, $F$11)</f>
        <v>10.8491</v>
      </c>
      <c r="H358" s="4">
        <f>CHOOSE( CONTROL!$C$32, 11.7937, 11.7882) * CHOOSE(CONTROL!$C$15, $D$11, 100%, $F$11)</f>
        <v>11.793699999999999</v>
      </c>
      <c r="I358" s="8">
        <f>CHOOSE( CONTROL!$C$32, 10.7676, 10.7623) * CHOOSE(CONTROL!$C$15, $D$11, 100%, $F$11)</f>
        <v>10.7676</v>
      </c>
      <c r="J358" s="4">
        <f>CHOOSE( CONTROL!$C$32, 10.6492, 10.6439) * CHOOSE(CONTROL!$C$15, $D$11, 100%, $F$11)</f>
        <v>10.6492</v>
      </c>
      <c r="K358" s="4"/>
      <c r="L358" s="9">
        <v>29.7257</v>
      </c>
      <c r="M358" s="9">
        <v>11.6745</v>
      </c>
      <c r="N358" s="9">
        <v>4.7850000000000001</v>
      </c>
      <c r="O358" s="9">
        <v>0.36199999999999999</v>
      </c>
      <c r="P358" s="9">
        <v>1.1791</v>
      </c>
      <c r="Q358" s="9">
        <v>19.866599999999998</v>
      </c>
      <c r="R358" s="9"/>
      <c r="S358" s="11"/>
    </row>
    <row r="359" spans="1:19" ht="15.75">
      <c r="A359" s="13">
        <v>52443</v>
      </c>
      <c r="B359" s="8">
        <f>CHOOSE( CONTROL!$C$32, 11.5993, 11.5937) * CHOOSE(CONTROL!$C$15, $D$11, 100%, $F$11)</f>
        <v>11.599299999999999</v>
      </c>
      <c r="C359" s="8">
        <f>CHOOSE( CONTROL!$C$32, 11.6074, 11.6018) * CHOOSE(CONTROL!$C$15, $D$11, 100%, $F$11)</f>
        <v>11.6074</v>
      </c>
      <c r="D359" s="8">
        <f>CHOOSE( CONTROL!$C$32, 11.6337, 11.6281) * CHOOSE( CONTROL!$C$15, $D$11, 100%, $F$11)</f>
        <v>11.633699999999999</v>
      </c>
      <c r="E359" s="12">
        <f>CHOOSE( CONTROL!$C$32, 11.6229, 11.6173) * CHOOSE( CONTROL!$C$15, $D$11, 100%, $F$11)</f>
        <v>11.6229</v>
      </c>
      <c r="F359" s="4">
        <f>CHOOSE( CONTROL!$C$32, 12.3117, 12.3061) * CHOOSE(CONTROL!$C$15, $D$11, 100%, $F$11)</f>
        <v>12.3117</v>
      </c>
      <c r="G359" s="8">
        <f>CHOOSE( CONTROL!$C$32, 11.3153, 11.3099) * CHOOSE( CONTROL!$C$15, $D$11, 100%, $F$11)</f>
        <v>11.315300000000001</v>
      </c>
      <c r="H359" s="4">
        <f>CHOOSE( CONTROL!$C$32, 12.2596, 12.2542) * CHOOSE(CONTROL!$C$15, $D$11, 100%, $F$11)</f>
        <v>12.259600000000001</v>
      </c>
      <c r="I359" s="8">
        <f>CHOOSE( CONTROL!$C$32, 11.2268, 11.2215) * CHOOSE(CONTROL!$C$15, $D$11, 100%, $F$11)</f>
        <v>11.226800000000001</v>
      </c>
      <c r="J359" s="4">
        <f>CHOOSE( CONTROL!$C$32, 11.1072, 11.1019) * CHOOSE(CONTROL!$C$15, $D$11, 100%, $F$11)</f>
        <v>11.107200000000001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1.2183999999999999</v>
      </c>
      <c r="Q359" s="9">
        <v>20.5288</v>
      </c>
      <c r="R359" s="9"/>
      <c r="S359" s="11"/>
    </row>
    <row r="360" spans="1:19" ht="15.75">
      <c r="A360" s="13">
        <v>52474</v>
      </c>
      <c r="B360" s="8">
        <f>CHOOSE( CONTROL!$C$32, 10.7067, 10.7011) * CHOOSE(CONTROL!$C$15, $D$11, 100%, $F$11)</f>
        <v>10.7067</v>
      </c>
      <c r="C360" s="8">
        <f>CHOOSE( CONTROL!$C$32, 10.7148, 10.7092) * CHOOSE(CONTROL!$C$15, $D$11, 100%, $F$11)</f>
        <v>10.7148</v>
      </c>
      <c r="D360" s="8">
        <f>CHOOSE( CONTROL!$C$32, 10.7412, 10.7356) * CHOOSE( CONTROL!$C$15, $D$11, 100%, $F$11)</f>
        <v>10.741199999999999</v>
      </c>
      <c r="E360" s="12">
        <f>CHOOSE( CONTROL!$C$32, 10.7304, 10.7248) * CHOOSE( CONTROL!$C$15, $D$11, 100%, $F$11)</f>
        <v>10.730399999999999</v>
      </c>
      <c r="F360" s="4">
        <f>CHOOSE( CONTROL!$C$32, 11.4191, 11.4135) * CHOOSE(CONTROL!$C$15, $D$11, 100%, $F$11)</f>
        <v>11.4191</v>
      </c>
      <c r="G360" s="8">
        <f>CHOOSE( CONTROL!$C$32, 10.4436, 10.4381) * CHOOSE( CONTROL!$C$15, $D$11, 100%, $F$11)</f>
        <v>10.4436</v>
      </c>
      <c r="H360" s="4">
        <f>CHOOSE( CONTROL!$C$32, 11.3878, 11.3824) * CHOOSE(CONTROL!$C$15, $D$11, 100%, $F$11)</f>
        <v>11.3878</v>
      </c>
      <c r="I360" s="8">
        <f>CHOOSE( CONTROL!$C$32, 10.3697, 10.3643) * CHOOSE(CONTROL!$C$15, $D$11, 100%, $F$11)</f>
        <v>10.3697</v>
      </c>
      <c r="J360" s="4">
        <f>CHOOSE( CONTROL!$C$32, 10.2502, 10.2449) * CHOOSE(CONTROL!$C$15, $D$11, 100%, $F$11)</f>
        <v>10.2502</v>
      </c>
      <c r="K360" s="4"/>
      <c r="L360" s="9">
        <v>30.7165</v>
      </c>
      <c r="M360" s="9">
        <v>12.063700000000001</v>
      </c>
      <c r="N360" s="9">
        <v>4.9444999999999997</v>
      </c>
      <c r="O360" s="9">
        <v>0.37409999999999999</v>
      </c>
      <c r="P360" s="9">
        <v>1.2183999999999999</v>
      </c>
      <c r="Q360" s="9">
        <v>20.5288</v>
      </c>
      <c r="R360" s="9"/>
      <c r="S360" s="11"/>
    </row>
    <row r="361" spans="1:19" ht="15.75">
      <c r="A361" s="13">
        <v>52504</v>
      </c>
      <c r="B361" s="8">
        <f>CHOOSE( CONTROL!$C$32, 10.4832, 10.4776) * CHOOSE(CONTROL!$C$15, $D$11, 100%, $F$11)</f>
        <v>10.4832</v>
      </c>
      <c r="C361" s="8">
        <f>CHOOSE( CONTROL!$C$32, 10.4912, 10.4857) * CHOOSE(CONTROL!$C$15, $D$11, 100%, $F$11)</f>
        <v>10.491199999999999</v>
      </c>
      <c r="D361" s="8">
        <f>CHOOSE( CONTROL!$C$32, 10.5176, 10.512) * CHOOSE( CONTROL!$C$15, $D$11, 100%, $F$11)</f>
        <v>10.5176</v>
      </c>
      <c r="E361" s="12">
        <f>CHOOSE( CONTROL!$C$32, 10.5068, 10.5012) * CHOOSE( CONTROL!$C$15, $D$11, 100%, $F$11)</f>
        <v>10.5068</v>
      </c>
      <c r="F361" s="4">
        <f>CHOOSE( CONTROL!$C$32, 11.1955, 11.19) * CHOOSE(CONTROL!$C$15, $D$11, 100%, $F$11)</f>
        <v>11.195499999999999</v>
      </c>
      <c r="G361" s="8">
        <f>CHOOSE( CONTROL!$C$32, 10.2252, 10.2198) * CHOOSE( CONTROL!$C$15, $D$11, 100%, $F$11)</f>
        <v>10.225199999999999</v>
      </c>
      <c r="H361" s="4">
        <f>CHOOSE( CONTROL!$C$32, 11.1695, 11.1641) * CHOOSE(CONTROL!$C$15, $D$11, 100%, $F$11)</f>
        <v>11.169499999999999</v>
      </c>
      <c r="I361" s="8">
        <f>CHOOSE( CONTROL!$C$32, 10.1548, 10.1494) * CHOOSE(CONTROL!$C$15, $D$11, 100%, $F$11)</f>
        <v>10.1548</v>
      </c>
      <c r="J361" s="4">
        <f>CHOOSE( CONTROL!$C$32, 10.0357, 10.0303) * CHOOSE(CONTROL!$C$15, $D$11, 100%, $F$11)</f>
        <v>10.0357</v>
      </c>
      <c r="K361" s="4"/>
      <c r="L361" s="9">
        <v>29.7257</v>
      </c>
      <c r="M361" s="9">
        <v>11.6745</v>
      </c>
      <c r="N361" s="9">
        <v>4.7850000000000001</v>
      </c>
      <c r="O361" s="9">
        <v>0.36199999999999999</v>
      </c>
      <c r="P361" s="9">
        <v>1.1791</v>
      </c>
      <c r="Q361" s="9">
        <v>19.866599999999998</v>
      </c>
      <c r="R361" s="9"/>
      <c r="S361" s="11"/>
    </row>
    <row r="362" spans="1:19" ht="15.75">
      <c r="A362" s="13">
        <v>52535</v>
      </c>
      <c r="B362" s="8">
        <f>10.94 * CHOOSE(CONTROL!$C$15, $D$11, 100%, $F$11)</f>
        <v>10.94</v>
      </c>
      <c r="C362" s="8">
        <f>10.9454 * CHOOSE(CONTROL!$C$15, $D$11, 100%, $F$11)</f>
        <v>10.945399999999999</v>
      </c>
      <c r="D362" s="8">
        <f>10.9766 * CHOOSE( CONTROL!$C$15, $D$11, 100%, $F$11)</f>
        <v>10.976599999999999</v>
      </c>
      <c r="E362" s="12">
        <f>10.9657 * CHOOSE( CONTROL!$C$15, $D$11, 100%, $F$11)</f>
        <v>10.9657</v>
      </c>
      <c r="F362" s="4">
        <f>11.6541 * CHOOSE(CONTROL!$C$15, $D$11, 100%, $F$11)</f>
        <v>11.6541</v>
      </c>
      <c r="G362" s="8">
        <f>10.6722 * CHOOSE( CONTROL!$C$15, $D$11, 100%, $F$11)</f>
        <v>10.6722</v>
      </c>
      <c r="H362" s="4">
        <f>11.6173 * CHOOSE(CONTROL!$C$15, $D$11, 100%, $F$11)</f>
        <v>11.6173</v>
      </c>
      <c r="I362" s="8">
        <f>10.5961 * CHOOSE(CONTROL!$C$15, $D$11, 100%, $F$11)</f>
        <v>10.5961</v>
      </c>
      <c r="J362" s="4">
        <f>10.4759 * CHOOSE(CONTROL!$C$15, $D$11, 100%, $F$11)</f>
        <v>10.475899999999999</v>
      </c>
      <c r="K362" s="4"/>
      <c r="L362" s="9">
        <v>31.095300000000002</v>
      </c>
      <c r="M362" s="9">
        <v>12.063700000000001</v>
      </c>
      <c r="N362" s="9">
        <v>4.9444999999999997</v>
      </c>
      <c r="O362" s="9">
        <v>0.37409999999999999</v>
      </c>
      <c r="P362" s="9">
        <v>1.2183999999999999</v>
      </c>
      <c r="Q362" s="9">
        <v>20.5288</v>
      </c>
      <c r="R362" s="9"/>
      <c r="S362" s="11"/>
    </row>
    <row r="363" spans="1:19" ht="15.75">
      <c r="A363" s="13">
        <v>52565</v>
      </c>
      <c r="B363" s="8">
        <f>11.7962 * CHOOSE(CONTROL!$C$15, $D$11, 100%, $F$11)</f>
        <v>11.796200000000001</v>
      </c>
      <c r="C363" s="8">
        <f>11.8014 * CHOOSE(CONTROL!$C$15, $D$11, 100%, $F$11)</f>
        <v>11.801399999999999</v>
      </c>
      <c r="D363" s="8">
        <f>11.7876 * CHOOSE( CONTROL!$C$15, $D$11, 100%, $F$11)</f>
        <v>11.787599999999999</v>
      </c>
      <c r="E363" s="12">
        <f>11.7921 * CHOOSE( CONTROL!$C$15, $D$11, 100%, $F$11)</f>
        <v>11.7921</v>
      </c>
      <c r="F363" s="4">
        <f>12.4467 * CHOOSE(CONTROL!$C$15, $D$11, 100%, $F$11)</f>
        <v>12.4467</v>
      </c>
      <c r="G363" s="8">
        <f>11.5164 * CHOOSE( CONTROL!$C$15, $D$11, 100%, $F$11)</f>
        <v>11.516400000000001</v>
      </c>
      <c r="H363" s="4">
        <f>12.3915 * CHOOSE(CONTROL!$C$15, $D$11, 100%, $F$11)</f>
        <v>12.391500000000001</v>
      </c>
      <c r="I363" s="8">
        <f>11.4626 * CHOOSE(CONTROL!$C$15, $D$11, 100%, $F$11)</f>
        <v>11.4626</v>
      </c>
      <c r="J363" s="4">
        <f>11.2983 * CHOOSE(CONTROL!$C$15, $D$11, 100%, $F$11)</f>
        <v>11.298299999999999</v>
      </c>
      <c r="K363" s="4"/>
      <c r="L363" s="9">
        <v>28.360600000000002</v>
      </c>
      <c r="M363" s="9">
        <v>11.6745</v>
      </c>
      <c r="N363" s="9">
        <v>4.7850000000000001</v>
      </c>
      <c r="O363" s="9">
        <v>0.36199999999999999</v>
      </c>
      <c r="P363" s="9">
        <v>1.2509999999999999</v>
      </c>
      <c r="Q363" s="9">
        <v>19.866599999999998</v>
      </c>
      <c r="R363" s="9"/>
      <c r="S363" s="11"/>
    </row>
    <row r="364" spans="1:19" ht="15.75">
      <c r="A364" s="13">
        <v>52596</v>
      </c>
      <c r="B364" s="8">
        <f>11.7748 * CHOOSE(CONTROL!$C$15, $D$11, 100%, $F$11)</f>
        <v>11.774800000000001</v>
      </c>
      <c r="C364" s="8">
        <f>11.78 * CHOOSE(CONTROL!$C$15, $D$11, 100%, $F$11)</f>
        <v>11.78</v>
      </c>
      <c r="D364" s="8">
        <f>11.7677 * CHOOSE( CONTROL!$C$15, $D$11, 100%, $F$11)</f>
        <v>11.7677</v>
      </c>
      <c r="E364" s="12">
        <f>11.7716 * CHOOSE( CONTROL!$C$15, $D$11, 100%, $F$11)</f>
        <v>11.771599999999999</v>
      </c>
      <c r="F364" s="4">
        <f>12.4252 * CHOOSE(CONTROL!$C$15, $D$11, 100%, $F$11)</f>
        <v>12.4252</v>
      </c>
      <c r="G364" s="8">
        <f>11.4966 * CHOOSE( CONTROL!$C$15, $D$11, 100%, $F$11)</f>
        <v>11.496600000000001</v>
      </c>
      <c r="H364" s="4">
        <f>12.3705 * CHOOSE(CONTROL!$C$15, $D$11, 100%, $F$11)</f>
        <v>12.3705</v>
      </c>
      <c r="I364" s="8">
        <f>11.4468 * CHOOSE(CONTROL!$C$15, $D$11, 100%, $F$11)</f>
        <v>11.4468</v>
      </c>
      <c r="J364" s="4">
        <f>11.2778 * CHOOSE(CONTROL!$C$15, $D$11, 100%, $F$11)</f>
        <v>11.277799999999999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20.5288</v>
      </c>
      <c r="R364" s="9"/>
      <c r="S364" s="11"/>
    </row>
    <row r="365" spans="1:19" ht="15.75">
      <c r="A365" s="13">
        <v>52627</v>
      </c>
      <c r="B365" s="8">
        <f>12.2237 * CHOOSE(CONTROL!$C$15, $D$11, 100%, $F$11)</f>
        <v>12.223699999999999</v>
      </c>
      <c r="C365" s="8">
        <f>12.2289 * CHOOSE(CONTROL!$C$15, $D$11, 100%, $F$11)</f>
        <v>12.228899999999999</v>
      </c>
      <c r="D365" s="8">
        <f>12.2113 * CHOOSE( CONTROL!$C$15, $D$11, 100%, $F$11)</f>
        <v>12.2113</v>
      </c>
      <c r="E365" s="12">
        <f>12.2172 * CHOOSE( CONTROL!$C$15, $D$11, 100%, $F$11)</f>
        <v>12.2172</v>
      </c>
      <c r="F365" s="4">
        <f>12.8742 * CHOOSE(CONTROL!$C$15, $D$11, 100%, $F$11)</f>
        <v>12.8742</v>
      </c>
      <c r="G365" s="8">
        <f>11.9251 * CHOOSE( CONTROL!$C$15, $D$11, 100%, $F$11)</f>
        <v>11.9251</v>
      </c>
      <c r="H365" s="4">
        <f>12.809 * CHOOSE(CONTROL!$C$15, $D$11, 100%, $F$11)</f>
        <v>12.808999999999999</v>
      </c>
      <c r="I365" s="8">
        <f>11.8379 * CHOOSE(CONTROL!$C$15, $D$11, 100%, $F$11)</f>
        <v>11.837899999999999</v>
      </c>
      <c r="J365" s="4">
        <f>11.7088 * CHOOSE(CONTROL!$C$15, $D$11, 100%, $F$11)</f>
        <v>11.7088</v>
      </c>
      <c r="K365" s="4"/>
      <c r="L365" s="9">
        <v>29.306000000000001</v>
      </c>
      <c r="M365" s="9">
        <v>12.063700000000001</v>
      </c>
      <c r="N365" s="9">
        <v>4.9444999999999997</v>
      </c>
      <c r="O365" s="9">
        <v>0.37409999999999999</v>
      </c>
      <c r="P365" s="9">
        <v>1.2927</v>
      </c>
      <c r="Q365" s="9">
        <v>20.4619</v>
      </c>
      <c r="R365" s="9"/>
      <c r="S365" s="11"/>
    </row>
    <row r="366" spans="1:19" ht="15.75">
      <c r="A366" s="13">
        <v>52655</v>
      </c>
      <c r="B366" s="8">
        <f>11.4353 * CHOOSE(CONTROL!$C$15, $D$11, 100%, $F$11)</f>
        <v>11.4353</v>
      </c>
      <c r="C366" s="8">
        <f>11.4405 * CHOOSE(CONTROL!$C$15, $D$11, 100%, $F$11)</f>
        <v>11.4405</v>
      </c>
      <c r="D366" s="8">
        <f>11.4229 * CHOOSE( CONTROL!$C$15, $D$11, 100%, $F$11)</f>
        <v>11.4229</v>
      </c>
      <c r="E366" s="12">
        <f>11.4288 * CHOOSE( CONTROL!$C$15, $D$11, 100%, $F$11)</f>
        <v>11.428800000000001</v>
      </c>
      <c r="F366" s="4">
        <f>12.0858 * CHOOSE(CONTROL!$C$15, $D$11, 100%, $F$11)</f>
        <v>12.085800000000001</v>
      </c>
      <c r="G366" s="8">
        <f>11.155 * CHOOSE( CONTROL!$C$15, $D$11, 100%, $F$11)</f>
        <v>11.154999999999999</v>
      </c>
      <c r="H366" s="4">
        <f>12.039 * CHOOSE(CONTROL!$C$15, $D$11, 100%, $F$11)</f>
        <v>12.039</v>
      </c>
      <c r="I366" s="8">
        <f>11.0803 * CHOOSE(CONTROL!$C$15, $D$11, 100%, $F$11)</f>
        <v>11.080299999999999</v>
      </c>
      <c r="J366" s="4">
        <f>10.9519 * CHOOSE(CONTROL!$C$15, $D$11, 100%, $F$11)</f>
        <v>10.9519</v>
      </c>
      <c r="K366" s="4"/>
      <c r="L366" s="9">
        <v>27.415299999999998</v>
      </c>
      <c r="M366" s="9">
        <v>11.285299999999999</v>
      </c>
      <c r="N366" s="9">
        <v>4.6254999999999997</v>
      </c>
      <c r="O366" s="9">
        <v>0.34989999999999999</v>
      </c>
      <c r="P366" s="9">
        <v>1.2093</v>
      </c>
      <c r="Q366" s="9">
        <v>19.1417</v>
      </c>
      <c r="R366" s="9"/>
      <c r="S366" s="11"/>
    </row>
    <row r="367" spans="1:19" ht="15.75">
      <c r="A367" s="13">
        <v>52687</v>
      </c>
      <c r="B367" s="8">
        <f>11.1925 * CHOOSE(CONTROL!$C$15, $D$11, 100%, $F$11)</f>
        <v>11.192500000000001</v>
      </c>
      <c r="C367" s="8">
        <f>11.1977 * CHOOSE(CONTROL!$C$15, $D$11, 100%, $F$11)</f>
        <v>11.197699999999999</v>
      </c>
      <c r="D367" s="8">
        <f>11.1797 * CHOOSE( CONTROL!$C$15, $D$11, 100%, $F$11)</f>
        <v>11.1797</v>
      </c>
      <c r="E367" s="12">
        <f>11.1857 * CHOOSE( CONTROL!$C$15, $D$11, 100%, $F$11)</f>
        <v>11.185700000000001</v>
      </c>
      <c r="F367" s="4">
        <f>11.8429 * CHOOSE(CONTROL!$C$15, $D$11, 100%, $F$11)</f>
        <v>11.8429</v>
      </c>
      <c r="G367" s="8">
        <f>10.9176 * CHOOSE( CONTROL!$C$15, $D$11, 100%, $F$11)</f>
        <v>10.9176</v>
      </c>
      <c r="H367" s="4">
        <f>11.8018 * CHOOSE(CONTROL!$C$15, $D$11, 100%, $F$11)</f>
        <v>11.8018</v>
      </c>
      <c r="I367" s="8">
        <f>10.8459 * CHOOSE(CONTROL!$C$15, $D$11, 100%, $F$11)</f>
        <v>10.8459</v>
      </c>
      <c r="J367" s="4">
        <f>10.7187 * CHOOSE(CONTROL!$C$15, $D$11, 100%, $F$11)</f>
        <v>10.7187</v>
      </c>
      <c r="K367" s="4"/>
      <c r="L367" s="9">
        <v>29.306000000000001</v>
      </c>
      <c r="M367" s="9">
        <v>12.063700000000001</v>
      </c>
      <c r="N367" s="9">
        <v>4.9444999999999997</v>
      </c>
      <c r="O367" s="9">
        <v>0.37409999999999999</v>
      </c>
      <c r="P367" s="9">
        <v>1.2927</v>
      </c>
      <c r="Q367" s="9">
        <v>20.4619</v>
      </c>
      <c r="R367" s="9"/>
      <c r="S367" s="11"/>
    </row>
    <row r="368" spans="1:19" ht="15.75">
      <c r="A368" s="13">
        <v>52717</v>
      </c>
      <c r="B368" s="8">
        <f>11.3629 * CHOOSE(CONTROL!$C$15, $D$11, 100%, $F$11)</f>
        <v>11.3629</v>
      </c>
      <c r="C368" s="8">
        <f>11.3675 * CHOOSE(CONTROL!$C$15, $D$11, 100%, $F$11)</f>
        <v>11.3675</v>
      </c>
      <c r="D368" s="8">
        <f>11.3987 * CHOOSE( CONTROL!$C$15, $D$11, 100%, $F$11)</f>
        <v>11.3987</v>
      </c>
      <c r="E368" s="12">
        <f>11.3879 * CHOOSE( CONTROL!$C$15, $D$11, 100%, $F$11)</f>
        <v>11.3879</v>
      </c>
      <c r="F368" s="4">
        <f>12.0767 * CHOOSE(CONTROL!$C$15, $D$11, 100%, $F$11)</f>
        <v>12.076700000000001</v>
      </c>
      <c r="G368" s="8">
        <f>11.0841 * CHOOSE( CONTROL!$C$15, $D$11, 100%, $F$11)</f>
        <v>11.084099999999999</v>
      </c>
      <c r="H368" s="4">
        <f>12.0301 * CHOOSE(CONTROL!$C$15, $D$11, 100%, $F$11)</f>
        <v>12.030099999999999</v>
      </c>
      <c r="I368" s="8">
        <f>10.9994 * CHOOSE(CONTROL!$C$15, $D$11, 100%, $F$11)</f>
        <v>10.9994</v>
      </c>
      <c r="J368" s="4">
        <f>10.8816 * CHOOSE(CONTROL!$C$15, $D$11, 100%, $F$11)</f>
        <v>10.881600000000001</v>
      </c>
      <c r="K368" s="4"/>
      <c r="L368" s="9">
        <v>30.092199999999998</v>
      </c>
      <c r="M368" s="9">
        <v>11.6745</v>
      </c>
      <c r="N368" s="9">
        <v>4.7850000000000001</v>
      </c>
      <c r="O368" s="9">
        <v>0.36199999999999999</v>
      </c>
      <c r="P368" s="9">
        <v>1.1791</v>
      </c>
      <c r="Q368" s="9">
        <v>19.8018</v>
      </c>
      <c r="R368" s="9"/>
      <c r="S368" s="11"/>
    </row>
    <row r="369" spans="1:19" ht="15.75">
      <c r="A369" s="13">
        <v>52748</v>
      </c>
      <c r="B369" s="8">
        <f>CHOOSE( CONTROL!$C$32, 11.6719, 11.6663) * CHOOSE(CONTROL!$C$15, $D$11, 100%, $F$11)</f>
        <v>11.671900000000001</v>
      </c>
      <c r="C369" s="8">
        <f>CHOOSE( CONTROL!$C$32, 11.6799, 11.6744) * CHOOSE(CONTROL!$C$15, $D$11, 100%, $F$11)</f>
        <v>11.6799</v>
      </c>
      <c r="D369" s="8">
        <f>CHOOSE( CONTROL!$C$32, 11.7059, 11.7004) * CHOOSE( CONTROL!$C$15, $D$11, 100%, $F$11)</f>
        <v>11.7059</v>
      </c>
      <c r="E369" s="12">
        <f>CHOOSE( CONTROL!$C$32, 11.6953, 11.6897) * CHOOSE( CONTROL!$C$15, $D$11, 100%, $F$11)</f>
        <v>11.6953</v>
      </c>
      <c r="F369" s="4">
        <f>CHOOSE( CONTROL!$C$32, 12.3843, 12.3787) * CHOOSE(CONTROL!$C$15, $D$11, 100%, $F$11)</f>
        <v>12.3843</v>
      </c>
      <c r="G369" s="8">
        <f>CHOOSE( CONTROL!$C$32, 11.3856, 11.3802) * CHOOSE( CONTROL!$C$15, $D$11, 100%, $F$11)</f>
        <v>11.3856</v>
      </c>
      <c r="H369" s="4">
        <f>CHOOSE( CONTROL!$C$32, 12.3305, 12.3251) * CHOOSE(CONTROL!$C$15, $D$11, 100%, $F$11)</f>
        <v>12.330500000000001</v>
      </c>
      <c r="I369" s="8">
        <f>CHOOSE( CONTROL!$C$32, 11.2948, 11.2894) * CHOOSE(CONTROL!$C$15, $D$11, 100%, $F$11)</f>
        <v>11.2948</v>
      </c>
      <c r="J369" s="4">
        <f>CHOOSE( CONTROL!$C$32, 11.1769, 11.1716) * CHOOSE(CONTROL!$C$15, $D$11, 100%, $F$11)</f>
        <v>11.1769</v>
      </c>
      <c r="K369" s="4"/>
      <c r="L369" s="9">
        <v>30.7165</v>
      </c>
      <c r="M369" s="9">
        <v>12.063700000000001</v>
      </c>
      <c r="N369" s="9">
        <v>4.9444999999999997</v>
      </c>
      <c r="O369" s="9">
        <v>0.37409999999999999</v>
      </c>
      <c r="P369" s="9">
        <v>1.2183999999999999</v>
      </c>
      <c r="Q369" s="9">
        <v>20.4619</v>
      </c>
      <c r="R369" s="9"/>
      <c r="S369" s="11"/>
    </row>
    <row r="370" spans="1:19" ht="15.75">
      <c r="A370" s="13">
        <v>52778</v>
      </c>
      <c r="B370" s="8">
        <f>CHOOSE( CONTROL!$C$32, 11.4848, 11.4792) * CHOOSE(CONTROL!$C$15, $D$11, 100%, $F$11)</f>
        <v>11.4848</v>
      </c>
      <c r="C370" s="8">
        <f>CHOOSE( CONTROL!$C$32, 11.4929, 11.4873) * CHOOSE(CONTROL!$C$15, $D$11, 100%, $F$11)</f>
        <v>11.492900000000001</v>
      </c>
      <c r="D370" s="8">
        <f>CHOOSE( CONTROL!$C$32, 11.519, 11.5134) * CHOOSE( CONTROL!$C$15, $D$11, 100%, $F$11)</f>
        <v>11.519</v>
      </c>
      <c r="E370" s="12">
        <f>CHOOSE( CONTROL!$C$32, 11.5083, 11.5027) * CHOOSE( CONTROL!$C$15, $D$11, 100%, $F$11)</f>
        <v>11.5083</v>
      </c>
      <c r="F370" s="4">
        <f>CHOOSE( CONTROL!$C$32, 12.1972, 12.1916) * CHOOSE(CONTROL!$C$15, $D$11, 100%, $F$11)</f>
        <v>12.1972</v>
      </c>
      <c r="G370" s="8">
        <f>CHOOSE( CONTROL!$C$32, 11.2032, 11.1977) * CHOOSE( CONTROL!$C$15, $D$11, 100%, $F$11)</f>
        <v>11.203200000000001</v>
      </c>
      <c r="H370" s="4">
        <f>CHOOSE( CONTROL!$C$32, 12.1478, 12.1424) * CHOOSE(CONTROL!$C$15, $D$11, 100%, $F$11)</f>
        <v>12.1478</v>
      </c>
      <c r="I370" s="8">
        <f>CHOOSE( CONTROL!$C$32, 11.1159, 11.1105) * CHOOSE(CONTROL!$C$15, $D$11, 100%, $F$11)</f>
        <v>11.1159</v>
      </c>
      <c r="J370" s="4">
        <f>CHOOSE( CONTROL!$C$32, 10.9973, 10.992) * CHOOSE(CONTROL!$C$15, $D$11, 100%, $F$11)</f>
        <v>10.997299999999999</v>
      </c>
      <c r="K370" s="4"/>
      <c r="L370" s="9">
        <v>29.7257</v>
      </c>
      <c r="M370" s="9">
        <v>11.6745</v>
      </c>
      <c r="N370" s="9">
        <v>4.7850000000000001</v>
      </c>
      <c r="O370" s="9">
        <v>0.36199999999999999</v>
      </c>
      <c r="P370" s="9">
        <v>1.1791</v>
      </c>
      <c r="Q370" s="9">
        <v>19.8018</v>
      </c>
      <c r="R370" s="9"/>
      <c r="S370" s="11"/>
    </row>
    <row r="371" spans="1:19" ht="15.75">
      <c r="A371" s="13">
        <v>52809</v>
      </c>
      <c r="B371" s="8">
        <f>CHOOSE( CONTROL!$C$32, 11.9774, 11.9719) * CHOOSE(CONTROL!$C$15, $D$11, 100%, $F$11)</f>
        <v>11.977399999999999</v>
      </c>
      <c r="C371" s="8">
        <f>CHOOSE( CONTROL!$C$32, 11.9855, 11.9799) * CHOOSE(CONTROL!$C$15, $D$11, 100%, $F$11)</f>
        <v>11.9855</v>
      </c>
      <c r="D371" s="8">
        <f>CHOOSE( CONTROL!$C$32, 12.0119, 12.0063) * CHOOSE( CONTROL!$C$15, $D$11, 100%, $F$11)</f>
        <v>12.011900000000001</v>
      </c>
      <c r="E371" s="12">
        <f>CHOOSE( CONTROL!$C$32, 12.0011, 11.9955) * CHOOSE( CONTROL!$C$15, $D$11, 100%, $F$11)</f>
        <v>12.001099999999999</v>
      </c>
      <c r="F371" s="4">
        <f>CHOOSE( CONTROL!$C$32, 12.6898, 12.6843) * CHOOSE(CONTROL!$C$15, $D$11, 100%, $F$11)</f>
        <v>12.6898</v>
      </c>
      <c r="G371" s="8">
        <f>CHOOSE( CONTROL!$C$32, 11.6846, 11.6792) * CHOOSE( CONTROL!$C$15, $D$11, 100%, $F$11)</f>
        <v>11.6846</v>
      </c>
      <c r="H371" s="4">
        <f>CHOOSE( CONTROL!$C$32, 12.629, 12.6235) * CHOOSE(CONTROL!$C$15, $D$11, 100%, $F$11)</f>
        <v>12.629</v>
      </c>
      <c r="I371" s="8">
        <f>CHOOSE( CONTROL!$C$32, 11.5901, 11.5847) * CHOOSE(CONTROL!$C$15, $D$11, 100%, $F$11)</f>
        <v>11.5901</v>
      </c>
      <c r="J371" s="4">
        <f>CHOOSE( CONTROL!$C$32, 11.4703, 11.465) * CHOOSE(CONTROL!$C$15, $D$11, 100%, $F$11)</f>
        <v>11.4703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1.2183999999999999</v>
      </c>
      <c r="Q371" s="9">
        <v>20.4619</v>
      </c>
      <c r="R371" s="9"/>
      <c r="S371" s="11"/>
    </row>
    <row r="372" spans="1:19" ht="15.75">
      <c r="A372" s="13">
        <v>52840</v>
      </c>
      <c r="B372" s="8">
        <f>CHOOSE( CONTROL!$C$32, 11.0556, 11.0501) * CHOOSE(CONTROL!$C$15, $D$11, 100%, $F$11)</f>
        <v>11.0556</v>
      </c>
      <c r="C372" s="8">
        <f>CHOOSE( CONTROL!$C$32, 11.0637, 11.0582) * CHOOSE(CONTROL!$C$15, $D$11, 100%, $F$11)</f>
        <v>11.063700000000001</v>
      </c>
      <c r="D372" s="8">
        <f>CHOOSE( CONTROL!$C$32, 11.0901, 11.0846) * CHOOSE( CONTROL!$C$15, $D$11, 100%, $F$11)</f>
        <v>11.0901</v>
      </c>
      <c r="E372" s="12">
        <f>CHOOSE( CONTROL!$C$32, 11.0793, 11.0738) * CHOOSE( CONTROL!$C$15, $D$11, 100%, $F$11)</f>
        <v>11.0793</v>
      </c>
      <c r="F372" s="4">
        <f>CHOOSE( CONTROL!$C$32, 11.768, 11.7625) * CHOOSE(CONTROL!$C$15, $D$11, 100%, $F$11)</f>
        <v>11.768000000000001</v>
      </c>
      <c r="G372" s="8">
        <f>CHOOSE( CONTROL!$C$32, 10.7844, 10.779) * CHOOSE( CONTROL!$C$15, $D$11, 100%, $F$11)</f>
        <v>10.7844</v>
      </c>
      <c r="H372" s="4">
        <f>CHOOSE( CONTROL!$C$32, 11.7286, 11.7232) * CHOOSE(CONTROL!$C$15, $D$11, 100%, $F$11)</f>
        <v>11.7286</v>
      </c>
      <c r="I372" s="8">
        <f>CHOOSE( CONTROL!$C$32, 10.7049, 10.6996) * CHOOSE(CONTROL!$C$15, $D$11, 100%, $F$11)</f>
        <v>10.7049</v>
      </c>
      <c r="J372" s="4">
        <f>CHOOSE( CONTROL!$C$32, 10.5853, 10.5799) * CHOOSE(CONTROL!$C$15, $D$11, 100%, $F$11)</f>
        <v>10.5853</v>
      </c>
      <c r="K372" s="4"/>
      <c r="L372" s="9">
        <v>30.7165</v>
      </c>
      <c r="M372" s="9">
        <v>12.063700000000001</v>
      </c>
      <c r="N372" s="9">
        <v>4.9444999999999997</v>
      </c>
      <c r="O372" s="9">
        <v>0.37409999999999999</v>
      </c>
      <c r="P372" s="9">
        <v>1.2183999999999999</v>
      </c>
      <c r="Q372" s="9">
        <v>20.4619</v>
      </c>
      <c r="R372" s="9"/>
      <c r="S372" s="11"/>
    </row>
    <row r="373" spans="1:19" ht="15.75">
      <c r="A373" s="13">
        <v>52870</v>
      </c>
      <c r="B373" s="8">
        <f>CHOOSE( CONTROL!$C$32, 10.8248, 10.8192) * CHOOSE(CONTROL!$C$15, $D$11, 100%, $F$11)</f>
        <v>10.8248</v>
      </c>
      <c r="C373" s="8">
        <f>CHOOSE( CONTROL!$C$32, 10.8329, 10.8273) * CHOOSE(CONTROL!$C$15, $D$11, 100%, $F$11)</f>
        <v>10.8329</v>
      </c>
      <c r="D373" s="8">
        <f>CHOOSE( CONTROL!$C$32, 10.8592, 10.8537) * CHOOSE( CONTROL!$C$15, $D$11, 100%, $F$11)</f>
        <v>10.8592</v>
      </c>
      <c r="E373" s="12">
        <f>CHOOSE( CONTROL!$C$32, 10.8484, 10.8429) * CHOOSE( CONTROL!$C$15, $D$11, 100%, $F$11)</f>
        <v>10.8484</v>
      </c>
      <c r="F373" s="4">
        <f>CHOOSE( CONTROL!$C$32, 11.5372, 11.5316) * CHOOSE(CONTROL!$C$15, $D$11, 100%, $F$11)</f>
        <v>11.5372</v>
      </c>
      <c r="G373" s="8">
        <f>CHOOSE( CONTROL!$C$32, 10.5589, 10.5535) * CHOOSE( CONTROL!$C$15, $D$11, 100%, $F$11)</f>
        <v>10.5589</v>
      </c>
      <c r="H373" s="4">
        <f>CHOOSE( CONTROL!$C$32, 11.5032, 11.4978) * CHOOSE(CONTROL!$C$15, $D$11, 100%, $F$11)</f>
        <v>11.5032</v>
      </c>
      <c r="I373" s="8">
        <f>CHOOSE( CONTROL!$C$32, 10.4829, 10.4776) * CHOOSE(CONTROL!$C$15, $D$11, 100%, $F$11)</f>
        <v>10.482900000000001</v>
      </c>
      <c r="J373" s="4">
        <f>CHOOSE( CONTROL!$C$32, 10.3637, 10.3583) * CHOOSE(CONTROL!$C$15, $D$11, 100%, $F$11)</f>
        <v>10.3637</v>
      </c>
      <c r="K373" s="4"/>
      <c r="L373" s="9">
        <v>29.7257</v>
      </c>
      <c r="M373" s="9">
        <v>11.6745</v>
      </c>
      <c r="N373" s="9">
        <v>4.7850000000000001</v>
      </c>
      <c r="O373" s="9">
        <v>0.36199999999999999</v>
      </c>
      <c r="P373" s="9">
        <v>1.1791</v>
      </c>
      <c r="Q373" s="9">
        <v>19.8018</v>
      </c>
      <c r="R373" s="9"/>
      <c r="S373" s="11"/>
    </row>
    <row r="374" spans="1:19" ht="15.75">
      <c r="A374" s="13">
        <v>52901</v>
      </c>
      <c r="B374" s="8">
        <f>11.2968 * CHOOSE(CONTROL!$C$15, $D$11, 100%, $F$11)</f>
        <v>11.296799999999999</v>
      </c>
      <c r="C374" s="8">
        <f>11.3022 * CHOOSE(CONTROL!$C$15, $D$11, 100%, $F$11)</f>
        <v>11.302199999999999</v>
      </c>
      <c r="D374" s="8">
        <f>11.3334 * CHOOSE( CONTROL!$C$15, $D$11, 100%, $F$11)</f>
        <v>11.333399999999999</v>
      </c>
      <c r="E374" s="12">
        <f>11.3225 * CHOOSE( CONTROL!$C$15, $D$11, 100%, $F$11)</f>
        <v>11.3225</v>
      </c>
      <c r="F374" s="4">
        <f>12.0109 * CHOOSE(CONTROL!$C$15, $D$11, 100%, $F$11)</f>
        <v>12.010899999999999</v>
      </c>
      <c r="G374" s="8">
        <f>11.0207 * CHOOSE( CONTROL!$C$15, $D$11, 100%, $F$11)</f>
        <v>11.0207</v>
      </c>
      <c r="H374" s="4">
        <f>11.9659 * CHOOSE(CONTROL!$C$15, $D$11, 100%, $F$11)</f>
        <v>11.9659</v>
      </c>
      <c r="I374" s="8">
        <f>10.9388 * CHOOSE(CONTROL!$C$15, $D$11, 100%, $F$11)</f>
        <v>10.938800000000001</v>
      </c>
      <c r="J374" s="4">
        <f>10.8185 * CHOOSE(CONTROL!$C$15, $D$11, 100%, $F$11)</f>
        <v>10.8185</v>
      </c>
      <c r="K374" s="4"/>
      <c r="L374" s="9">
        <v>31.095300000000002</v>
      </c>
      <c r="M374" s="9">
        <v>12.063700000000001</v>
      </c>
      <c r="N374" s="9">
        <v>4.9444999999999997</v>
      </c>
      <c r="O374" s="9">
        <v>0.37409999999999999</v>
      </c>
      <c r="P374" s="9">
        <v>1.2183999999999999</v>
      </c>
      <c r="Q374" s="9">
        <v>20.4619</v>
      </c>
      <c r="R374" s="9"/>
      <c r="S374" s="11"/>
    </row>
    <row r="375" spans="1:19" ht="15.75">
      <c r="A375" s="13">
        <v>52931</v>
      </c>
      <c r="B375" s="8">
        <f>12.181 * CHOOSE(CONTROL!$C$15, $D$11, 100%, $F$11)</f>
        <v>12.180999999999999</v>
      </c>
      <c r="C375" s="8">
        <f>12.1862 * CHOOSE(CONTROL!$C$15, $D$11, 100%, $F$11)</f>
        <v>12.186199999999999</v>
      </c>
      <c r="D375" s="8">
        <f>12.1725 * CHOOSE( CONTROL!$C$15, $D$11, 100%, $F$11)</f>
        <v>12.172499999999999</v>
      </c>
      <c r="E375" s="12">
        <f>12.177 * CHOOSE( CONTROL!$C$15, $D$11, 100%, $F$11)</f>
        <v>12.177</v>
      </c>
      <c r="F375" s="4">
        <f>12.8315 * CHOOSE(CONTROL!$C$15, $D$11, 100%, $F$11)</f>
        <v>12.8315</v>
      </c>
      <c r="G375" s="8">
        <f>11.8923 * CHOOSE( CONTROL!$C$15, $D$11, 100%, $F$11)</f>
        <v>11.892300000000001</v>
      </c>
      <c r="H375" s="4">
        <f>12.7673 * CHOOSE(CONTROL!$C$15, $D$11, 100%, $F$11)</f>
        <v>12.767300000000001</v>
      </c>
      <c r="I375" s="8">
        <f>11.8322 * CHOOSE(CONTROL!$C$15, $D$11, 100%, $F$11)</f>
        <v>11.8322</v>
      </c>
      <c r="J375" s="4">
        <f>11.6678 * CHOOSE(CONTROL!$C$15, $D$11, 100%, $F$11)</f>
        <v>11.6678</v>
      </c>
      <c r="K375" s="4"/>
      <c r="L375" s="9">
        <v>28.360600000000002</v>
      </c>
      <c r="M375" s="9">
        <v>11.6745</v>
      </c>
      <c r="N375" s="9">
        <v>4.7850000000000001</v>
      </c>
      <c r="O375" s="9">
        <v>0.36199999999999999</v>
      </c>
      <c r="P375" s="9">
        <v>1.2509999999999999</v>
      </c>
      <c r="Q375" s="9">
        <v>19.8018</v>
      </c>
      <c r="R375" s="9"/>
      <c r="S375" s="11"/>
    </row>
    <row r="376" spans="1:19" ht="15.75">
      <c r="A376" s="13">
        <v>52962</v>
      </c>
      <c r="B376" s="8">
        <f>12.1589 * CHOOSE(CONTROL!$C$15, $D$11, 100%, $F$11)</f>
        <v>12.158899999999999</v>
      </c>
      <c r="C376" s="8">
        <f>12.1641 * CHOOSE(CONTROL!$C$15, $D$11, 100%, $F$11)</f>
        <v>12.164099999999999</v>
      </c>
      <c r="D376" s="8">
        <f>12.1518 * CHOOSE( CONTROL!$C$15, $D$11, 100%, $F$11)</f>
        <v>12.1518</v>
      </c>
      <c r="E376" s="12">
        <f>12.1557 * CHOOSE( CONTROL!$C$15, $D$11, 100%, $F$11)</f>
        <v>12.1557</v>
      </c>
      <c r="F376" s="4">
        <f>12.8094 * CHOOSE(CONTROL!$C$15, $D$11, 100%, $F$11)</f>
        <v>12.8094</v>
      </c>
      <c r="G376" s="8">
        <f>11.8718 * CHOOSE( CONTROL!$C$15, $D$11, 100%, $F$11)</f>
        <v>11.8718</v>
      </c>
      <c r="H376" s="4">
        <f>12.7458 * CHOOSE(CONTROL!$C$15, $D$11, 100%, $F$11)</f>
        <v>12.745799999999999</v>
      </c>
      <c r="I376" s="8">
        <f>11.8158 * CHOOSE(CONTROL!$C$15, $D$11, 100%, $F$11)</f>
        <v>11.815799999999999</v>
      </c>
      <c r="J376" s="4">
        <f>11.6466 * CHOOSE(CONTROL!$C$15, $D$11, 100%, $F$11)</f>
        <v>11.646599999999999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20.4619</v>
      </c>
      <c r="R376" s="9"/>
      <c r="S376" s="11"/>
    </row>
    <row r="377" spans="1:19" ht="15.75">
      <c r="A377" s="13">
        <v>52993</v>
      </c>
      <c r="B377" s="8">
        <f>12.6226 * CHOOSE(CONTROL!$C$15, $D$11, 100%, $F$11)</f>
        <v>12.6226</v>
      </c>
      <c r="C377" s="8">
        <f>12.6277 * CHOOSE(CONTROL!$C$15, $D$11, 100%, $F$11)</f>
        <v>12.627700000000001</v>
      </c>
      <c r="D377" s="8">
        <f>12.6102 * CHOOSE( CONTROL!$C$15, $D$11, 100%, $F$11)</f>
        <v>12.610200000000001</v>
      </c>
      <c r="E377" s="12">
        <f>12.6161 * CHOOSE( CONTROL!$C$15, $D$11, 100%, $F$11)</f>
        <v>12.616099999999999</v>
      </c>
      <c r="F377" s="4">
        <f>13.273 * CHOOSE(CONTROL!$C$15, $D$11, 100%, $F$11)</f>
        <v>13.273</v>
      </c>
      <c r="G377" s="8">
        <f>12.3146 * CHOOSE( CONTROL!$C$15, $D$11, 100%, $F$11)</f>
        <v>12.3146</v>
      </c>
      <c r="H377" s="4">
        <f>13.1986 * CHOOSE(CONTROL!$C$15, $D$11, 100%, $F$11)</f>
        <v>13.198600000000001</v>
      </c>
      <c r="I377" s="8">
        <f>12.221 * CHOOSE(CONTROL!$C$15, $D$11, 100%, $F$11)</f>
        <v>12.221</v>
      </c>
      <c r="J377" s="4">
        <f>12.0917 * CHOOSE(CONTROL!$C$15, $D$11, 100%, $F$11)</f>
        <v>12.091699999999999</v>
      </c>
      <c r="K377" s="4"/>
      <c r="L377" s="9">
        <v>29.306000000000001</v>
      </c>
      <c r="M377" s="9">
        <v>12.063700000000001</v>
      </c>
      <c r="N377" s="9">
        <v>4.9444999999999997</v>
      </c>
      <c r="O377" s="9">
        <v>0.37409999999999999</v>
      </c>
      <c r="P377" s="9">
        <v>1.2927</v>
      </c>
      <c r="Q377" s="9">
        <v>20.396799999999999</v>
      </c>
      <c r="R377" s="9"/>
      <c r="S377" s="11"/>
    </row>
    <row r="378" spans="1:19" ht="15.75">
      <c r="A378" s="13">
        <v>53021</v>
      </c>
      <c r="B378" s="8">
        <f>11.8084 * CHOOSE(CONTROL!$C$15, $D$11, 100%, $F$11)</f>
        <v>11.808400000000001</v>
      </c>
      <c r="C378" s="8">
        <f>11.8136 * CHOOSE(CONTROL!$C$15, $D$11, 100%, $F$11)</f>
        <v>11.813599999999999</v>
      </c>
      <c r="D378" s="8">
        <f>11.7959 * CHOOSE( CONTROL!$C$15, $D$11, 100%, $F$11)</f>
        <v>11.7959</v>
      </c>
      <c r="E378" s="12">
        <f>11.8018 * CHOOSE( CONTROL!$C$15, $D$11, 100%, $F$11)</f>
        <v>11.8018</v>
      </c>
      <c r="F378" s="4">
        <f>12.4588 * CHOOSE(CONTROL!$C$15, $D$11, 100%, $F$11)</f>
        <v>12.4588</v>
      </c>
      <c r="G378" s="8">
        <f>11.5194 * CHOOSE( CONTROL!$C$15, $D$11, 100%, $F$11)</f>
        <v>11.519399999999999</v>
      </c>
      <c r="H378" s="4">
        <f>12.4033 * CHOOSE(CONTROL!$C$15, $D$11, 100%, $F$11)</f>
        <v>12.4033</v>
      </c>
      <c r="I378" s="8">
        <f>11.4387 * CHOOSE(CONTROL!$C$15, $D$11, 100%, $F$11)</f>
        <v>11.438700000000001</v>
      </c>
      <c r="J378" s="4">
        <f>11.31 * CHOOSE(CONTROL!$C$15, $D$11, 100%, $F$11)</f>
        <v>11.31</v>
      </c>
      <c r="K378" s="4"/>
      <c r="L378" s="9">
        <v>26.469899999999999</v>
      </c>
      <c r="M378" s="9">
        <v>10.8962</v>
      </c>
      <c r="N378" s="9">
        <v>4.4660000000000002</v>
      </c>
      <c r="O378" s="9">
        <v>0.33789999999999998</v>
      </c>
      <c r="P378" s="9">
        <v>1.1676</v>
      </c>
      <c r="Q378" s="9">
        <v>18.422899999999998</v>
      </c>
      <c r="R378" s="9"/>
      <c r="S378" s="11"/>
    </row>
    <row r="379" spans="1:19" ht="15.75">
      <c r="A379" s="13">
        <v>53052</v>
      </c>
      <c r="B379" s="8">
        <f>11.5576 * CHOOSE(CONTROL!$C$15, $D$11, 100%, $F$11)</f>
        <v>11.557600000000001</v>
      </c>
      <c r="C379" s="8">
        <f>11.5628 * CHOOSE(CONTROL!$C$15, $D$11, 100%, $F$11)</f>
        <v>11.562799999999999</v>
      </c>
      <c r="D379" s="8">
        <f>11.5448 * CHOOSE( CONTROL!$C$15, $D$11, 100%, $F$11)</f>
        <v>11.5448</v>
      </c>
      <c r="E379" s="12">
        <f>11.5508 * CHOOSE( CONTROL!$C$15, $D$11, 100%, $F$11)</f>
        <v>11.550800000000001</v>
      </c>
      <c r="F379" s="4">
        <f>12.2081 * CHOOSE(CONTROL!$C$15, $D$11, 100%, $F$11)</f>
        <v>12.2081</v>
      </c>
      <c r="G379" s="8">
        <f>11.2742 * CHOOSE( CONTROL!$C$15, $D$11, 100%, $F$11)</f>
        <v>11.2742</v>
      </c>
      <c r="H379" s="4">
        <f>12.1584 * CHOOSE(CONTROL!$C$15, $D$11, 100%, $F$11)</f>
        <v>12.1584</v>
      </c>
      <c r="I379" s="8">
        <f>11.1966 * CHOOSE(CONTROL!$C$15, $D$11, 100%, $F$11)</f>
        <v>11.1966</v>
      </c>
      <c r="J379" s="4">
        <f>11.0693 * CHOOSE(CONTROL!$C$15, $D$11, 100%, $F$11)</f>
        <v>11.0693</v>
      </c>
      <c r="K379" s="4"/>
      <c r="L379" s="9">
        <v>29.306000000000001</v>
      </c>
      <c r="M379" s="9">
        <v>12.063700000000001</v>
      </c>
      <c r="N379" s="9">
        <v>4.9444999999999997</v>
      </c>
      <c r="O379" s="9">
        <v>0.37409999999999999</v>
      </c>
      <c r="P379" s="9">
        <v>1.2927</v>
      </c>
      <c r="Q379" s="9">
        <v>20.396799999999999</v>
      </c>
      <c r="R379" s="9"/>
      <c r="S379" s="11"/>
    </row>
    <row r="380" spans="1:19" ht="15.75">
      <c r="A380" s="13">
        <v>53082</v>
      </c>
      <c r="B380" s="8">
        <f>11.7336 * CHOOSE(CONTROL!$C$15, $D$11, 100%, $F$11)</f>
        <v>11.733599999999999</v>
      </c>
      <c r="C380" s="8">
        <f>11.7382 * CHOOSE(CONTROL!$C$15, $D$11, 100%, $F$11)</f>
        <v>11.738200000000001</v>
      </c>
      <c r="D380" s="8">
        <f>11.7693 * CHOOSE( CONTROL!$C$15, $D$11, 100%, $F$11)</f>
        <v>11.769299999999999</v>
      </c>
      <c r="E380" s="12">
        <f>11.7585 * CHOOSE( CONTROL!$C$15, $D$11, 100%, $F$11)</f>
        <v>11.7585</v>
      </c>
      <c r="F380" s="4">
        <f>12.4473 * CHOOSE(CONTROL!$C$15, $D$11, 100%, $F$11)</f>
        <v>12.4473</v>
      </c>
      <c r="G380" s="8">
        <f>11.4462 * CHOOSE( CONTROL!$C$15, $D$11, 100%, $F$11)</f>
        <v>11.446199999999999</v>
      </c>
      <c r="H380" s="4">
        <f>12.3921 * CHOOSE(CONTROL!$C$15, $D$11, 100%, $F$11)</f>
        <v>12.392099999999999</v>
      </c>
      <c r="I380" s="8">
        <f>11.3555 * CHOOSE(CONTROL!$C$15, $D$11, 100%, $F$11)</f>
        <v>11.355499999999999</v>
      </c>
      <c r="J380" s="4">
        <f>11.2375 * CHOOSE(CONTROL!$C$15, $D$11, 100%, $F$11)</f>
        <v>11.237500000000001</v>
      </c>
      <c r="K380" s="4"/>
      <c r="L380" s="9">
        <v>30.092199999999998</v>
      </c>
      <c r="M380" s="9">
        <v>11.6745</v>
      </c>
      <c r="N380" s="9">
        <v>4.7850000000000001</v>
      </c>
      <c r="O380" s="9">
        <v>0.36199999999999999</v>
      </c>
      <c r="P380" s="9">
        <v>1.1791</v>
      </c>
      <c r="Q380" s="9">
        <v>19.738800000000001</v>
      </c>
      <c r="R380" s="9"/>
      <c r="S380" s="11"/>
    </row>
    <row r="381" spans="1:19" ht="15.75">
      <c r="A381" s="13">
        <v>53113</v>
      </c>
      <c r="B381" s="8">
        <f>CHOOSE( CONTROL!$C$32, 12.0524, 12.0468) * CHOOSE(CONTROL!$C$15, $D$11, 100%, $F$11)</f>
        <v>12.0524</v>
      </c>
      <c r="C381" s="8">
        <f>CHOOSE( CONTROL!$C$32, 12.0605, 12.0549) * CHOOSE(CONTROL!$C$15, $D$11, 100%, $F$11)</f>
        <v>12.060499999999999</v>
      </c>
      <c r="D381" s="8">
        <f>CHOOSE( CONTROL!$C$32, 12.0865, 12.0809) * CHOOSE( CONTROL!$C$15, $D$11, 100%, $F$11)</f>
        <v>12.086499999999999</v>
      </c>
      <c r="E381" s="12">
        <f>CHOOSE( CONTROL!$C$32, 12.0758, 12.0702) * CHOOSE( CONTROL!$C$15, $D$11, 100%, $F$11)</f>
        <v>12.075799999999999</v>
      </c>
      <c r="F381" s="4">
        <f>CHOOSE( CONTROL!$C$32, 12.7648, 12.7592) * CHOOSE(CONTROL!$C$15, $D$11, 100%, $F$11)</f>
        <v>12.764799999999999</v>
      </c>
      <c r="G381" s="8">
        <f>CHOOSE( CONTROL!$C$32, 11.7573, 11.7519) * CHOOSE( CONTROL!$C$15, $D$11, 100%, $F$11)</f>
        <v>11.757300000000001</v>
      </c>
      <c r="H381" s="4">
        <f>CHOOSE( CONTROL!$C$32, 12.7022, 12.6967) * CHOOSE(CONTROL!$C$15, $D$11, 100%, $F$11)</f>
        <v>12.702199999999999</v>
      </c>
      <c r="I381" s="8">
        <f>CHOOSE( CONTROL!$C$32, 11.6603, 11.655) * CHOOSE(CONTROL!$C$15, $D$11, 100%, $F$11)</f>
        <v>11.660299999999999</v>
      </c>
      <c r="J381" s="4">
        <f>CHOOSE( CONTROL!$C$32, 11.5423, 11.5369) * CHOOSE(CONTROL!$C$15, $D$11, 100%, $F$11)</f>
        <v>11.542299999999999</v>
      </c>
      <c r="K381" s="4"/>
      <c r="L381" s="9">
        <v>30.7165</v>
      </c>
      <c r="M381" s="9">
        <v>12.063700000000001</v>
      </c>
      <c r="N381" s="9">
        <v>4.9444999999999997</v>
      </c>
      <c r="O381" s="9">
        <v>0.37409999999999999</v>
      </c>
      <c r="P381" s="9">
        <v>1.2183999999999999</v>
      </c>
      <c r="Q381" s="9">
        <v>20.396799999999999</v>
      </c>
      <c r="R381" s="9"/>
      <c r="S381" s="11"/>
    </row>
    <row r="382" spans="1:19" ht="15.75">
      <c r="A382" s="13">
        <v>53143</v>
      </c>
      <c r="B382" s="8">
        <f>CHOOSE( CONTROL!$C$32, 11.8592, 11.8536) * CHOOSE(CONTROL!$C$15, $D$11, 100%, $F$11)</f>
        <v>11.8592</v>
      </c>
      <c r="C382" s="8">
        <f>CHOOSE( CONTROL!$C$32, 11.8673, 11.8617) * CHOOSE(CONTROL!$C$15, $D$11, 100%, $F$11)</f>
        <v>11.8673</v>
      </c>
      <c r="D382" s="8">
        <f>CHOOSE( CONTROL!$C$32, 11.8934, 11.8879) * CHOOSE( CONTROL!$C$15, $D$11, 100%, $F$11)</f>
        <v>11.8934</v>
      </c>
      <c r="E382" s="12">
        <f>CHOOSE( CONTROL!$C$32, 11.8827, 11.8772) * CHOOSE( CONTROL!$C$15, $D$11, 100%, $F$11)</f>
        <v>11.8827</v>
      </c>
      <c r="F382" s="4">
        <f>CHOOSE( CONTROL!$C$32, 12.5716, 12.566) * CHOOSE(CONTROL!$C$15, $D$11, 100%, $F$11)</f>
        <v>12.5716</v>
      </c>
      <c r="G382" s="8">
        <f>CHOOSE( CONTROL!$C$32, 11.5689, 11.5634) * CHOOSE( CONTROL!$C$15, $D$11, 100%, $F$11)</f>
        <v>11.568899999999999</v>
      </c>
      <c r="H382" s="4">
        <f>CHOOSE( CONTROL!$C$32, 12.5135, 12.508) * CHOOSE(CONTROL!$C$15, $D$11, 100%, $F$11)</f>
        <v>12.513500000000001</v>
      </c>
      <c r="I382" s="8">
        <f>CHOOSE( CONTROL!$C$32, 11.4756, 11.4702) * CHOOSE(CONTROL!$C$15, $D$11, 100%, $F$11)</f>
        <v>11.4756</v>
      </c>
      <c r="J382" s="4">
        <f>CHOOSE( CONTROL!$C$32, 11.3568, 11.3515) * CHOOSE(CONTROL!$C$15, $D$11, 100%, $F$11)</f>
        <v>11.3568</v>
      </c>
      <c r="K382" s="4"/>
      <c r="L382" s="9">
        <v>29.7257</v>
      </c>
      <c r="M382" s="9">
        <v>11.6745</v>
      </c>
      <c r="N382" s="9">
        <v>4.7850000000000001</v>
      </c>
      <c r="O382" s="9">
        <v>0.36199999999999999</v>
      </c>
      <c r="P382" s="9">
        <v>1.1791</v>
      </c>
      <c r="Q382" s="9">
        <v>19.738800000000001</v>
      </c>
      <c r="R382" s="9"/>
      <c r="S382" s="11"/>
    </row>
    <row r="383" spans="1:19" ht="15.75">
      <c r="A383" s="13">
        <v>53174</v>
      </c>
      <c r="B383" s="8">
        <f>CHOOSE( CONTROL!$C$32, 12.368, 12.3624) * CHOOSE(CONTROL!$C$15, $D$11, 100%, $F$11)</f>
        <v>12.368</v>
      </c>
      <c r="C383" s="8">
        <f>CHOOSE( CONTROL!$C$32, 12.376, 12.3705) * CHOOSE(CONTROL!$C$15, $D$11, 100%, $F$11)</f>
        <v>12.375999999999999</v>
      </c>
      <c r="D383" s="8">
        <f>CHOOSE( CONTROL!$C$32, 12.4024, 12.3968) * CHOOSE( CONTROL!$C$15, $D$11, 100%, $F$11)</f>
        <v>12.4024</v>
      </c>
      <c r="E383" s="12">
        <f>CHOOSE( CONTROL!$C$32, 12.3916, 12.386) * CHOOSE( CONTROL!$C$15, $D$11, 100%, $F$11)</f>
        <v>12.3916</v>
      </c>
      <c r="F383" s="4">
        <f>CHOOSE( CONTROL!$C$32, 13.0804, 13.0748) * CHOOSE(CONTROL!$C$15, $D$11, 100%, $F$11)</f>
        <v>13.080399999999999</v>
      </c>
      <c r="G383" s="8">
        <f>CHOOSE( CONTROL!$C$32, 12.0661, 12.0606) * CHOOSE( CONTROL!$C$15, $D$11, 100%, $F$11)</f>
        <v>12.0661</v>
      </c>
      <c r="H383" s="4">
        <f>CHOOSE( CONTROL!$C$32, 13.0104, 13.005) * CHOOSE(CONTROL!$C$15, $D$11, 100%, $F$11)</f>
        <v>13.010400000000001</v>
      </c>
      <c r="I383" s="8">
        <f>CHOOSE( CONTROL!$C$32, 11.9652, 11.9599) * CHOOSE(CONTROL!$C$15, $D$11, 100%, $F$11)</f>
        <v>11.965199999999999</v>
      </c>
      <c r="J383" s="4">
        <f>CHOOSE( CONTROL!$C$32, 11.8453, 11.8399) * CHOOSE(CONTROL!$C$15, $D$11, 100%, $F$11)</f>
        <v>11.8453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1.2183999999999999</v>
      </c>
      <c r="Q383" s="9">
        <v>20.396799999999999</v>
      </c>
      <c r="R383" s="9"/>
      <c r="S383" s="11"/>
    </row>
    <row r="384" spans="1:19" ht="15.75">
      <c r="A384" s="13">
        <v>53205</v>
      </c>
      <c r="B384" s="8">
        <f>CHOOSE( CONTROL!$C$32, 11.416, 11.4105) * CHOOSE(CONTROL!$C$15, $D$11, 100%, $F$11)</f>
        <v>11.416</v>
      </c>
      <c r="C384" s="8">
        <f>CHOOSE( CONTROL!$C$32, 11.4241, 11.4185) * CHOOSE(CONTROL!$C$15, $D$11, 100%, $F$11)</f>
        <v>11.424099999999999</v>
      </c>
      <c r="D384" s="8">
        <f>CHOOSE( CONTROL!$C$32, 11.4505, 11.4449) * CHOOSE( CONTROL!$C$15, $D$11, 100%, $F$11)</f>
        <v>11.4505</v>
      </c>
      <c r="E384" s="12">
        <f>CHOOSE( CONTROL!$C$32, 11.4397, 11.4341) * CHOOSE( CONTROL!$C$15, $D$11, 100%, $F$11)</f>
        <v>11.4397</v>
      </c>
      <c r="F384" s="4">
        <f>CHOOSE( CONTROL!$C$32, 12.1284, 12.1228) * CHOOSE(CONTROL!$C$15, $D$11, 100%, $F$11)</f>
        <v>12.128399999999999</v>
      </c>
      <c r="G384" s="8">
        <f>CHOOSE( CONTROL!$C$32, 11.1364, 11.131) * CHOOSE( CONTROL!$C$15, $D$11, 100%, $F$11)</f>
        <v>11.1364</v>
      </c>
      <c r="H384" s="4">
        <f>CHOOSE( CONTROL!$C$32, 12.0806, 12.0752) * CHOOSE(CONTROL!$C$15, $D$11, 100%, $F$11)</f>
        <v>12.0806</v>
      </c>
      <c r="I384" s="8">
        <f>CHOOSE( CONTROL!$C$32, 11.0511, 11.0457) * CHOOSE(CONTROL!$C$15, $D$11, 100%, $F$11)</f>
        <v>11.0511</v>
      </c>
      <c r="J384" s="4">
        <f>CHOOSE( CONTROL!$C$32, 10.9313, 10.926) * CHOOSE(CONTROL!$C$15, $D$11, 100%, $F$11)</f>
        <v>10.9313</v>
      </c>
      <c r="K384" s="4"/>
      <c r="L384" s="9">
        <v>30.7165</v>
      </c>
      <c r="M384" s="9">
        <v>12.063700000000001</v>
      </c>
      <c r="N384" s="9">
        <v>4.9444999999999997</v>
      </c>
      <c r="O384" s="9">
        <v>0.37409999999999999</v>
      </c>
      <c r="P384" s="9">
        <v>1.2183999999999999</v>
      </c>
      <c r="Q384" s="9">
        <v>20.396799999999999</v>
      </c>
      <c r="R384" s="9"/>
      <c r="S384" s="11"/>
    </row>
    <row r="385" spans="1:19" ht="15.75">
      <c r="A385" s="13">
        <v>53235</v>
      </c>
      <c r="B385" s="8">
        <f>CHOOSE( CONTROL!$C$32, 11.1776, 11.1721) * CHOOSE(CONTROL!$C$15, $D$11, 100%, $F$11)</f>
        <v>11.1776</v>
      </c>
      <c r="C385" s="8">
        <f>CHOOSE( CONTROL!$C$32, 11.1857, 11.1802) * CHOOSE(CONTROL!$C$15, $D$11, 100%, $F$11)</f>
        <v>11.185700000000001</v>
      </c>
      <c r="D385" s="8">
        <f>CHOOSE( CONTROL!$C$32, 11.2121, 11.2065) * CHOOSE( CONTROL!$C$15, $D$11, 100%, $F$11)</f>
        <v>11.2121</v>
      </c>
      <c r="E385" s="12">
        <f>CHOOSE( CONTROL!$C$32, 11.2013, 11.1957) * CHOOSE( CONTROL!$C$15, $D$11, 100%, $F$11)</f>
        <v>11.2013</v>
      </c>
      <c r="F385" s="4">
        <f>CHOOSE( CONTROL!$C$32, 11.89, 11.8845) * CHOOSE(CONTROL!$C$15, $D$11, 100%, $F$11)</f>
        <v>11.89</v>
      </c>
      <c r="G385" s="8">
        <f>CHOOSE( CONTROL!$C$32, 10.9035, 10.8981) * CHOOSE( CONTROL!$C$15, $D$11, 100%, $F$11)</f>
        <v>10.903499999999999</v>
      </c>
      <c r="H385" s="4">
        <f>CHOOSE( CONTROL!$C$32, 11.8478, 11.8424) * CHOOSE(CONTROL!$C$15, $D$11, 100%, $F$11)</f>
        <v>11.847799999999999</v>
      </c>
      <c r="I385" s="8">
        <f>CHOOSE( CONTROL!$C$32, 10.8219, 10.8165) * CHOOSE(CONTROL!$C$15, $D$11, 100%, $F$11)</f>
        <v>10.821899999999999</v>
      </c>
      <c r="J385" s="4">
        <f>CHOOSE( CONTROL!$C$32, 10.7024, 10.6971) * CHOOSE(CONTROL!$C$15, $D$11, 100%, $F$11)</f>
        <v>10.702400000000001</v>
      </c>
      <c r="K385" s="4"/>
      <c r="L385" s="9">
        <v>29.7257</v>
      </c>
      <c r="M385" s="9">
        <v>11.6745</v>
      </c>
      <c r="N385" s="9">
        <v>4.7850000000000001</v>
      </c>
      <c r="O385" s="9">
        <v>0.36199999999999999</v>
      </c>
      <c r="P385" s="9">
        <v>1.1791</v>
      </c>
      <c r="Q385" s="9">
        <v>19.738800000000001</v>
      </c>
      <c r="R385" s="9"/>
      <c r="S385" s="11"/>
    </row>
    <row r="386" spans="1:19" ht="15.75">
      <c r="A386" s="13">
        <v>53266</v>
      </c>
      <c r="B386" s="8">
        <f>11.6653 * CHOOSE(CONTROL!$C$15, $D$11, 100%, $F$11)</f>
        <v>11.6653</v>
      </c>
      <c r="C386" s="8">
        <f>11.6707 * CHOOSE(CONTROL!$C$15, $D$11, 100%, $F$11)</f>
        <v>11.6707</v>
      </c>
      <c r="D386" s="8">
        <f>11.7019 * CHOOSE( CONTROL!$C$15, $D$11, 100%, $F$11)</f>
        <v>11.7019</v>
      </c>
      <c r="E386" s="12">
        <f>11.691 * CHOOSE( CONTROL!$C$15, $D$11, 100%, $F$11)</f>
        <v>11.691000000000001</v>
      </c>
      <c r="F386" s="4">
        <f>12.3794 * CHOOSE(CONTROL!$C$15, $D$11, 100%, $F$11)</f>
        <v>12.3794</v>
      </c>
      <c r="G386" s="8">
        <f>11.3806 * CHOOSE( CONTROL!$C$15, $D$11, 100%, $F$11)</f>
        <v>11.380599999999999</v>
      </c>
      <c r="H386" s="4">
        <f>12.3258 * CHOOSE(CONTROL!$C$15, $D$11, 100%, $F$11)</f>
        <v>12.325799999999999</v>
      </c>
      <c r="I386" s="8">
        <f>11.2928 * CHOOSE(CONTROL!$C$15, $D$11, 100%, $F$11)</f>
        <v>11.2928</v>
      </c>
      <c r="J386" s="4">
        <f>11.1723 * CHOOSE(CONTROL!$C$15, $D$11, 100%, $F$11)</f>
        <v>11.1723</v>
      </c>
      <c r="K386" s="4"/>
      <c r="L386" s="9">
        <v>31.095300000000002</v>
      </c>
      <c r="M386" s="9">
        <v>12.063700000000001</v>
      </c>
      <c r="N386" s="9">
        <v>4.9444999999999997</v>
      </c>
      <c r="O386" s="9">
        <v>0.37409999999999999</v>
      </c>
      <c r="P386" s="9">
        <v>1.2183999999999999</v>
      </c>
      <c r="Q386" s="9">
        <v>20.396799999999999</v>
      </c>
      <c r="R386" s="9"/>
      <c r="S386" s="11"/>
    </row>
    <row r="387" spans="1:19" ht="15.75">
      <c r="A387" s="13">
        <v>53296</v>
      </c>
      <c r="B387" s="8">
        <f>12.5785 * CHOOSE(CONTROL!$C$15, $D$11, 100%, $F$11)</f>
        <v>12.5785</v>
      </c>
      <c r="C387" s="8">
        <f>12.5837 * CHOOSE(CONTROL!$C$15, $D$11, 100%, $F$11)</f>
        <v>12.5837</v>
      </c>
      <c r="D387" s="8">
        <f>12.5699 * CHOOSE( CONTROL!$C$15, $D$11, 100%, $F$11)</f>
        <v>12.569900000000001</v>
      </c>
      <c r="E387" s="12">
        <f>12.5744 * CHOOSE( CONTROL!$C$15, $D$11, 100%, $F$11)</f>
        <v>12.574400000000001</v>
      </c>
      <c r="F387" s="4">
        <f>13.2289 * CHOOSE(CONTROL!$C$15, $D$11, 100%, $F$11)</f>
        <v>13.228899999999999</v>
      </c>
      <c r="G387" s="8">
        <f>12.2805 * CHOOSE( CONTROL!$C$15, $D$11, 100%, $F$11)</f>
        <v>12.2805</v>
      </c>
      <c r="H387" s="4">
        <f>13.1555 * CHOOSE(CONTROL!$C$15, $D$11, 100%, $F$11)</f>
        <v>13.1555</v>
      </c>
      <c r="I387" s="8">
        <f>12.214 * CHOOSE(CONTROL!$C$15, $D$11, 100%, $F$11)</f>
        <v>12.214</v>
      </c>
      <c r="J387" s="4">
        <f>12.0494 * CHOOSE(CONTROL!$C$15, $D$11, 100%, $F$11)</f>
        <v>12.0494</v>
      </c>
      <c r="K387" s="4"/>
      <c r="L387" s="9">
        <v>28.360600000000002</v>
      </c>
      <c r="M387" s="9">
        <v>11.6745</v>
      </c>
      <c r="N387" s="9">
        <v>4.7850000000000001</v>
      </c>
      <c r="O387" s="9">
        <v>0.36199999999999999</v>
      </c>
      <c r="P387" s="9">
        <v>1.2509999999999999</v>
      </c>
      <c r="Q387" s="9">
        <v>19.738800000000001</v>
      </c>
      <c r="R387" s="9"/>
      <c r="S387" s="11"/>
    </row>
    <row r="388" spans="1:19" ht="15.75">
      <c r="A388" s="13">
        <v>53327</v>
      </c>
      <c r="B388" s="8">
        <f>12.5557 * CHOOSE(CONTROL!$C$15, $D$11, 100%, $F$11)</f>
        <v>12.5557</v>
      </c>
      <c r="C388" s="8">
        <f>12.5608 * CHOOSE(CONTROL!$C$15, $D$11, 100%, $F$11)</f>
        <v>12.5608</v>
      </c>
      <c r="D388" s="8">
        <f>12.5486 * CHOOSE( CONTROL!$C$15, $D$11, 100%, $F$11)</f>
        <v>12.5486</v>
      </c>
      <c r="E388" s="12">
        <f>12.5525 * CHOOSE( CONTROL!$C$15, $D$11, 100%, $F$11)</f>
        <v>12.5525</v>
      </c>
      <c r="F388" s="4">
        <f>13.2061 * CHOOSE(CONTROL!$C$15, $D$11, 100%, $F$11)</f>
        <v>13.206099999999999</v>
      </c>
      <c r="G388" s="8">
        <f>12.2593 * CHOOSE( CONTROL!$C$15, $D$11, 100%, $F$11)</f>
        <v>12.2593</v>
      </c>
      <c r="H388" s="4">
        <f>13.1332 * CHOOSE(CONTROL!$C$15, $D$11, 100%, $F$11)</f>
        <v>13.1332</v>
      </c>
      <c r="I388" s="8">
        <f>12.1968 * CHOOSE(CONTROL!$C$15, $D$11, 100%, $F$11)</f>
        <v>12.1968</v>
      </c>
      <c r="J388" s="4">
        <f>12.0275 * CHOOSE(CONTROL!$C$15, $D$11, 100%, $F$11)</f>
        <v>12.0275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20.396799999999999</v>
      </c>
      <c r="R388" s="9"/>
      <c r="S388" s="11"/>
    </row>
    <row r="389" spans="1:19" ht="15.75">
      <c r="A389" s="13">
        <v>53358</v>
      </c>
      <c r="B389" s="8">
        <f>13.0344 * CHOOSE(CONTROL!$C$15, $D$11, 100%, $F$11)</f>
        <v>13.0344</v>
      </c>
      <c r="C389" s="8">
        <f>13.0396 * CHOOSE(CONTROL!$C$15, $D$11, 100%, $F$11)</f>
        <v>13.0396</v>
      </c>
      <c r="D389" s="8">
        <f>13.0221 * CHOOSE( CONTROL!$C$15, $D$11, 100%, $F$11)</f>
        <v>13.0221</v>
      </c>
      <c r="E389" s="12">
        <f>13.0279 * CHOOSE( CONTROL!$C$15, $D$11, 100%, $F$11)</f>
        <v>13.027900000000001</v>
      </c>
      <c r="F389" s="4">
        <f>13.6849 * CHOOSE(CONTROL!$C$15, $D$11, 100%, $F$11)</f>
        <v>13.684900000000001</v>
      </c>
      <c r="G389" s="8">
        <f>12.7169 * CHOOSE( CONTROL!$C$15, $D$11, 100%, $F$11)</f>
        <v>12.716900000000001</v>
      </c>
      <c r="H389" s="4">
        <f>13.6009 * CHOOSE(CONTROL!$C$15, $D$11, 100%, $F$11)</f>
        <v>13.600899999999999</v>
      </c>
      <c r="I389" s="8">
        <f>12.6166 * CHOOSE(CONTROL!$C$15, $D$11, 100%, $F$11)</f>
        <v>12.6166</v>
      </c>
      <c r="J389" s="4">
        <f>12.4872 * CHOOSE(CONTROL!$C$15, $D$11, 100%, $F$11)</f>
        <v>12.4872</v>
      </c>
      <c r="K389" s="4"/>
      <c r="L389" s="9">
        <v>29.306000000000001</v>
      </c>
      <c r="M389" s="9">
        <v>12.063700000000001</v>
      </c>
      <c r="N389" s="9">
        <v>4.9444999999999997</v>
      </c>
      <c r="O389" s="9">
        <v>0.37409999999999999</v>
      </c>
      <c r="P389" s="9">
        <v>1.2927</v>
      </c>
      <c r="Q389" s="9">
        <v>20.331700000000001</v>
      </c>
      <c r="R389" s="9"/>
      <c r="S389" s="11"/>
    </row>
    <row r="390" spans="1:19" ht="15.75">
      <c r="A390" s="13">
        <v>53386</v>
      </c>
      <c r="B390" s="8">
        <f>12.1936 * CHOOSE(CONTROL!$C$15, $D$11, 100%, $F$11)</f>
        <v>12.1936</v>
      </c>
      <c r="C390" s="8">
        <f>12.1988 * CHOOSE(CONTROL!$C$15, $D$11, 100%, $F$11)</f>
        <v>12.1988</v>
      </c>
      <c r="D390" s="8">
        <f>12.1812 * CHOOSE( CONTROL!$C$15, $D$11, 100%, $F$11)</f>
        <v>12.1812</v>
      </c>
      <c r="E390" s="12">
        <f>12.1871 * CHOOSE( CONTROL!$C$15, $D$11, 100%, $F$11)</f>
        <v>12.187099999999999</v>
      </c>
      <c r="F390" s="4">
        <f>12.8441 * CHOOSE(CONTROL!$C$15, $D$11, 100%, $F$11)</f>
        <v>12.844099999999999</v>
      </c>
      <c r="G390" s="8">
        <f>11.8956 * CHOOSE( CONTROL!$C$15, $D$11, 100%, $F$11)</f>
        <v>11.8956</v>
      </c>
      <c r="H390" s="4">
        <f>12.7796 * CHOOSE(CONTROL!$C$15, $D$11, 100%, $F$11)</f>
        <v>12.7796</v>
      </c>
      <c r="I390" s="8">
        <f>11.8088 * CHOOSE(CONTROL!$C$15, $D$11, 100%, $F$11)</f>
        <v>11.8088</v>
      </c>
      <c r="J390" s="4">
        <f>11.6799 * CHOOSE(CONTROL!$C$15, $D$11, 100%, $F$11)</f>
        <v>11.6799</v>
      </c>
      <c r="K390" s="4"/>
      <c r="L390" s="9">
        <v>26.469899999999999</v>
      </c>
      <c r="M390" s="9">
        <v>10.8962</v>
      </c>
      <c r="N390" s="9">
        <v>4.4660000000000002</v>
      </c>
      <c r="O390" s="9">
        <v>0.33789999999999998</v>
      </c>
      <c r="P390" s="9">
        <v>1.1676</v>
      </c>
      <c r="Q390" s="9">
        <v>18.364100000000001</v>
      </c>
      <c r="R390" s="9"/>
      <c r="S390" s="11"/>
    </row>
    <row r="391" spans="1:19" ht="15.75">
      <c r="A391" s="13">
        <v>53417</v>
      </c>
      <c r="B391" s="8">
        <f>11.9346 * CHOOSE(CONTROL!$C$15, $D$11, 100%, $F$11)</f>
        <v>11.9346</v>
      </c>
      <c r="C391" s="8">
        <f>11.9398 * CHOOSE(CONTROL!$C$15, $D$11, 100%, $F$11)</f>
        <v>11.9398</v>
      </c>
      <c r="D391" s="8">
        <f>11.9218 * CHOOSE( CONTROL!$C$15, $D$11, 100%, $F$11)</f>
        <v>11.921799999999999</v>
      </c>
      <c r="E391" s="12">
        <f>11.9278 * CHOOSE( CONTROL!$C$15, $D$11, 100%, $F$11)</f>
        <v>11.9278</v>
      </c>
      <c r="F391" s="4">
        <f>12.5851 * CHOOSE(CONTROL!$C$15, $D$11, 100%, $F$11)</f>
        <v>12.585100000000001</v>
      </c>
      <c r="G391" s="8">
        <f>11.6424 * CHOOSE( CONTROL!$C$15, $D$11, 100%, $F$11)</f>
        <v>11.6424</v>
      </c>
      <c r="H391" s="4">
        <f>12.5267 * CHOOSE(CONTROL!$C$15, $D$11, 100%, $F$11)</f>
        <v>12.5267</v>
      </c>
      <c r="I391" s="8">
        <f>11.5588 * CHOOSE(CONTROL!$C$15, $D$11, 100%, $F$11)</f>
        <v>11.5588</v>
      </c>
      <c r="J391" s="4">
        <f>11.4313 * CHOOSE(CONTROL!$C$15, $D$11, 100%, $F$11)</f>
        <v>11.4313</v>
      </c>
      <c r="K391" s="4"/>
      <c r="L391" s="9">
        <v>29.306000000000001</v>
      </c>
      <c r="M391" s="9">
        <v>12.063700000000001</v>
      </c>
      <c r="N391" s="9">
        <v>4.9444999999999997</v>
      </c>
      <c r="O391" s="9">
        <v>0.37409999999999999</v>
      </c>
      <c r="P391" s="9">
        <v>1.2927</v>
      </c>
      <c r="Q391" s="9">
        <v>20.331700000000001</v>
      </c>
      <c r="R391" s="9"/>
      <c r="S391" s="11"/>
    </row>
    <row r="392" spans="1:19" ht="15.75">
      <c r="A392" s="13">
        <v>53447</v>
      </c>
      <c r="B392" s="8">
        <f>12.1164 * CHOOSE(CONTROL!$C$15, $D$11, 100%, $F$11)</f>
        <v>12.116400000000001</v>
      </c>
      <c r="C392" s="8">
        <f>12.121 * CHOOSE(CONTROL!$C$15, $D$11, 100%, $F$11)</f>
        <v>12.121</v>
      </c>
      <c r="D392" s="8">
        <f>12.1521 * CHOOSE( CONTROL!$C$15, $D$11, 100%, $F$11)</f>
        <v>12.152100000000001</v>
      </c>
      <c r="E392" s="12">
        <f>12.1413 * CHOOSE( CONTROL!$C$15, $D$11, 100%, $F$11)</f>
        <v>12.141299999999999</v>
      </c>
      <c r="F392" s="4">
        <f>12.8301 * CHOOSE(CONTROL!$C$15, $D$11, 100%, $F$11)</f>
        <v>12.8301</v>
      </c>
      <c r="G392" s="8">
        <f>11.82 * CHOOSE( CONTROL!$C$15, $D$11, 100%, $F$11)</f>
        <v>11.82</v>
      </c>
      <c r="H392" s="4">
        <f>12.766 * CHOOSE(CONTROL!$C$15, $D$11, 100%, $F$11)</f>
        <v>12.766</v>
      </c>
      <c r="I392" s="8">
        <f>11.7231 * CHOOSE(CONTROL!$C$15, $D$11, 100%, $F$11)</f>
        <v>11.723100000000001</v>
      </c>
      <c r="J392" s="4">
        <f>11.605 * CHOOSE(CONTROL!$C$15, $D$11, 100%, $F$11)</f>
        <v>11.605</v>
      </c>
      <c r="K392" s="4"/>
      <c r="L392" s="9">
        <v>30.092199999999998</v>
      </c>
      <c r="M392" s="9">
        <v>11.6745</v>
      </c>
      <c r="N392" s="9">
        <v>4.7850000000000001</v>
      </c>
      <c r="O392" s="9">
        <v>0.36199999999999999</v>
      </c>
      <c r="P392" s="9">
        <v>1.1791</v>
      </c>
      <c r="Q392" s="9">
        <v>19.675799999999999</v>
      </c>
      <c r="R392" s="9"/>
      <c r="S392" s="11"/>
    </row>
    <row r="393" spans="1:19" ht="15.75">
      <c r="A393" s="13">
        <v>53478</v>
      </c>
      <c r="B393" s="8">
        <f>CHOOSE( CONTROL!$C$32, 12.4454, 12.4398) * CHOOSE(CONTROL!$C$15, $D$11, 100%, $F$11)</f>
        <v>12.445399999999999</v>
      </c>
      <c r="C393" s="8">
        <f>CHOOSE( CONTROL!$C$32, 12.4535, 12.4479) * CHOOSE(CONTROL!$C$15, $D$11, 100%, $F$11)</f>
        <v>12.4535</v>
      </c>
      <c r="D393" s="8">
        <f>CHOOSE( CONTROL!$C$32, 12.4794, 12.4739) * CHOOSE( CONTROL!$C$15, $D$11, 100%, $F$11)</f>
        <v>12.4794</v>
      </c>
      <c r="E393" s="12">
        <f>CHOOSE( CONTROL!$C$32, 12.4688, 12.4632) * CHOOSE( CONTROL!$C$15, $D$11, 100%, $F$11)</f>
        <v>12.4688</v>
      </c>
      <c r="F393" s="4">
        <f>CHOOSE( CONTROL!$C$32, 13.1578, 13.1522) * CHOOSE(CONTROL!$C$15, $D$11, 100%, $F$11)</f>
        <v>13.1578</v>
      </c>
      <c r="G393" s="8">
        <f>CHOOSE( CONTROL!$C$32, 12.1411, 12.1357) * CHOOSE( CONTROL!$C$15, $D$11, 100%, $F$11)</f>
        <v>12.1411</v>
      </c>
      <c r="H393" s="4">
        <f>CHOOSE( CONTROL!$C$32, 13.086, 13.0806) * CHOOSE(CONTROL!$C$15, $D$11, 100%, $F$11)</f>
        <v>13.086</v>
      </c>
      <c r="I393" s="8">
        <f>CHOOSE( CONTROL!$C$32, 12.0378, 12.0325) * CHOOSE(CONTROL!$C$15, $D$11, 100%, $F$11)</f>
        <v>12.037800000000001</v>
      </c>
      <c r="J393" s="4">
        <f>CHOOSE( CONTROL!$C$32, 11.9196, 11.9142) * CHOOSE(CONTROL!$C$15, $D$11, 100%, $F$11)</f>
        <v>11.919600000000001</v>
      </c>
      <c r="K393" s="4"/>
      <c r="L393" s="9">
        <v>30.7165</v>
      </c>
      <c r="M393" s="9">
        <v>12.063700000000001</v>
      </c>
      <c r="N393" s="9">
        <v>4.9444999999999997</v>
      </c>
      <c r="O393" s="9">
        <v>0.37409999999999999</v>
      </c>
      <c r="P393" s="9">
        <v>1.2183999999999999</v>
      </c>
      <c r="Q393" s="9">
        <v>20.331700000000001</v>
      </c>
      <c r="R393" s="9"/>
      <c r="S393" s="11"/>
    </row>
    <row r="394" spans="1:19" ht="15.75">
      <c r="A394" s="13">
        <v>53508</v>
      </c>
      <c r="B394" s="8">
        <f>CHOOSE( CONTROL!$C$32, 12.2459, 12.2403) * CHOOSE(CONTROL!$C$15, $D$11, 100%, $F$11)</f>
        <v>12.245900000000001</v>
      </c>
      <c r="C394" s="8">
        <f>CHOOSE( CONTROL!$C$32, 12.254, 12.2484) * CHOOSE(CONTROL!$C$15, $D$11, 100%, $F$11)</f>
        <v>12.254</v>
      </c>
      <c r="D394" s="8">
        <f>CHOOSE( CONTROL!$C$32, 12.2801, 12.2745) * CHOOSE( CONTROL!$C$15, $D$11, 100%, $F$11)</f>
        <v>12.280099999999999</v>
      </c>
      <c r="E394" s="12">
        <f>CHOOSE( CONTROL!$C$32, 12.2694, 12.2638) * CHOOSE( CONTROL!$C$15, $D$11, 100%, $F$11)</f>
        <v>12.269399999999999</v>
      </c>
      <c r="F394" s="4">
        <f>CHOOSE( CONTROL!$C$32, 12.9583, 12.9527) * CHOOSE(CONTROL!$C$15, $D$11, 100%, $F$11)</f>
        <v>12.958299999999999</v>
      </c>
      <c r="G394" s="8">
        <f>CHOOSE( CONTROL!$C$32, 11.9465, 11.9411) * CHOOSE( CONTROL!$C$15, $D$11, 100%, $F$11)</f>
        <v>11.9465</v>
      </c>
      <c r="H394" s="4">
        <f>CHOOSE( CONTROL!$C$32, 12.8911, 12.8857) * CHOOSE(CONTROL!$C$15, $D$11, 100%, $F$11)</f>
        <v>12.8911</v>
      </c>
      <c r="I394" s="8">
        <f>CHOOSE( CONTROL!$C$32, 11.847, 11.8416) * CHOOSE(CONTROL!$C$15, $D$11, 100%, $F$11)</f>
        <v>11.847</v>
      </c>
      <c r="J394" s="4">
        <f>CHOOSE( CONTROL!$C$32, 11.728, 11.7227) * CHOOSE(CONTROL!$C$15, $D$11, 100%, $F$11)</f>
        <v>11.728</v>
      </c>
      <c r="K394" s="4"/>
      <c r="L394" s="9">
        <v>29.7257</v>
      </c>
      <c r="M394" s="9">
        <v>11.6745</v>
      </c>
      <c r="N394" s="9">
        <v>4.7850000000000001</v>
      </c>
      <c r="O394" s="9">
        <v>0.36199999999999999</v>
      </c>
      <c r="P394" s="9">
        <v>1.1791</v>
      </c>
      <c r="Q394" s="9">
        <v>19.675799999999999</v>
      </c>
      <c r="R394" s="9"/>
      <c r="S394" s="11"/>
    </row>
    <row r="395" spans="1:19" ht="15.75">
      <c r="A395" s="13">
        <v>53539</v>
      </c>
      <c r="B395" s="8">
        <f>CHOOSE( CONTROL!$C$32, 12.7713, 12.7657) * CHOOSE(CONTROL!$C$15, $D$11, 100%, $F$11)</f>
        <v>12.7713</v>
      </c>
      <c r="C395" s="8">
        <f>CHOOSE( CONTROL!$C$32, 12.7793, 12.7738) * CHOOSE(CONTROL!$C$15, $D$11, 100%, $F$11)</f>
        <v>12.779299999999999</v>
      </c>
      <c r="D395" s="8">
        <f>CHOOSE( CONTROL!$C$32, 12.8057, 12.8001) * CHOOSE( CONTROL!$C$15, $D$11, 100%, $F$11)</f>
        <v>12.8057</v>
      </c>
      <c r="E395" s="12">
        <f>CHOOSE( CONTROL!$C$32, 12.7949, 12.7893) * CHOOSE( CONTROL!$C$15, $D$11, 100%, $F$11)</f>
        <v>12.7949</v>
      </c>
      <c r="F395" s="4">
        <f>CHOOSE( CONTROL!$C$32, 13.4837, 13.4781) * CHOOSE(CONTROL!$C$15, $D$11, 100%, $F$11)</f>
        <v>13.483700000000001</v>
      </c>
      <c r="G395" s="8">
        <f>CHOOSE( CONTROL!$C$32, 12.46, 12.4545) * CHOOSE( CONTROL!$C$15, $D$11, 100%, $F$11)</f>
        <v>12.46</v>
      </c>
      <c r="H395" s="4">
        <f>CHOOSE( CONTROL!$C$32, 13.4043, 13.3989) * CHOOSE(CONTROL!$C$15, $D$11, 100%, $F$11)</f>
        <v>13.404299999999999</v>
      </c>
      <c r="I395" s="8">
        <f>CHOOSE( CONTROL!$C$32, 12.3526, 12.3473) * CHOOSE(CONTROL!$C$15, $D$11, 100%, $F$11)</f>
        <v>12.352600000000001</v>
      </c>
      <c r="J395" s="4">
        <f>CHOOSE( CONTROL!$C$32, 12.2325, 12.2271) * CHOOSE(CONTROL!$C$15, $D$11, 100%, $F$11)</f>
        <v>12.2325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1.2183999999999999</v>
      </c>
      <c r="Q395" s="9">
        <v>20.331700000000001</v>
      </c>
      <c r="R395" s="9"/>
      <c r="S395" s="11"/>
    </row>
    <row r="396" spans="1:19" ht="15.75">
      <c r="A396" s="13">
        <v>53570</v>
      </c>
      <c r="B396" s="8">
        <f>CHOOSE( CONTROL!$C$32, 11.7882, 11.7826) * CHOOSE(CONTROL!$C$15, $D$11, 100%, $F$11)</f>
        <v>11.7882</v>
      </c>
      <c r="C396" s="8">
        <f>CHOOSE( CONTROL!$C$32, 11.7963, 11.7907) * CHOOSE(CONTROL!$C$15, $D$11, 100%, $F$11)</f>
        <v>11.7963</v>
      </c>
      <c r="D396" s="8">
        <f>CHOOSE( CONTROL!$C$32, 11.8227, 11.8171) * CHOOSE( CONTROL!$C$15, $D$11, 100%, $F$11)</f>
        <v>11.822699999999999</v>
      </c>
      <c r="E396" s="12">
        <f>CHOOSE( CONTROL!$C$32, 11.8119, 11.8063) * CHOOSE( CONTROL!$C$15, $D$11, 100%, $F$11)</f>
        <v>11.8119</v>
      </c>
      <c r="F396" s="4">
        <f>CHOOSE( CONTROL!$C$32, 12.5006, 12.495) * CHOOSE(CONTROL!$C$15, $D$11, 100%, $F$11)</f>
        <v>12.5006</v>
      </c>
      <c r="G396" s="8">
        <f>CHOOSE( CONTROL!$C$32, 11.4999, 11.4945) * CHOOSE( CONTROL!$C$15, $D$11, 100%, $F$11)</f>
        <v>11.4999</v>
      </c>
      <c r="H396" s="4">
        <f>CHOOSE( CONTROL!$C$32, 12.4441, 12.4387) * CHOOSE(CONTROL!$C$15, $D$11, 100%, $F$11)</f>
        <v>12.444100000000001</v>
      </c>
      <c r="I396" s="8">
        <f>CHOOSE( CONTROL!$C$32, 11.4086, 11.4032) * CHOOSE(CONTROL!$C$15, $D$11, 100%, $F$11)</f>
        <v>11.4086</v>
      </c>
      <c r="J396" s="4">
        <f>CHOOSE( CONTROL!$C$32, 11.2886, 11.2833) * CHOOSE(CONTROL!$C$15, $D$11, 100%, $F$11)</f>
        <v>11.288600000000001</v>
      </c>
      <c r="K396" s="4"/>
      <c r="L396" s="9">
        <v>30.7165</v>
      </c>
      <c r="M396" s="9">
        <v>12.063700000000001</v>
      </c>
      <c r="N396" s="9">
        <v>4.9444999999999997</v>
      </c>
      <c r="O396" s="9">
        <v>0.37409999999999999</v>
      </c>
      <c r="P396" s="9">
        <v>1.2183999999999999</v>
      </c>
      <c r="Q396" s="9">
        <v>20.331700000000001</v>
      </c>
      <c r="R396" s="9"/>
      <c r="S396" s="11"/>
    </row>
    <row r="397" spans="1:19" ht="15.75">
      <c r="A397" s="13">
        <v>53600</v>
      </c>
      <c r="B397" s="8">
        <f>CHOOSE( CONTROL!$C$32, 11.542, 11.5365) * CHOOSE(CONTROL!$C$15, $D$11, 100%, $F$11)</f>
        <v>11.542</v>
      </c>
      <c r="C397" s="8">
        <f>CHOOSE( CONTROL!$C$32, 11.5501, 11.5445) * CHOOSE(CONTROL!$C$15, $D$11, 100%, $F$11)</f>
        <v>11.5501</v>
      </c>
      <c r="D397" s="8">
        <f>CHOOSE( CONTROL!$C$32, 11.5765, 11.5709) * CHOOSE( CONTROL!$C$15, $D$11, 100%, $F$11)</f>
        <v>11.576499999999999</v>
      </c>
      <c r="E397" s="12">
        <f>CHOOSE( CONTROL!$C$32, 11.5657, 11.5601) * CHOOSE( CONTROL!$C$15, $D$11, 100%, $F$11)</f>
        <v>11.5657</v>
      </c>
      <c r="F397" s="4">
        <f>CHOOSE( CONTROL!$C$32, 12.2544, 12.2488) * CHOOSE(CONTROL!$C$15, $D$11, 100%, $F$11)</f>
        <v>12.2544</v>
      </c>
      <c r="G397" s="8">
        <f>CHOOSE( CONTROL!$C$32, 11.2594, 11.254) * CHOOSE( CONTROL!$C$15, $D$11, 100%, $F$11)</f>
        <v>11.259399999999999</v>
      </c>
      <c r="H397" s="4">
        <f>CHOOSE( CONTROL!$C$32, 12.2037, 12.1983) * CHOOSE(CONTROL!$C$15, $D$11, 100%, $F$11)</f>
        <v>12.2037</v>
      </c>
      <c r="I397" s="8">
        <f>CHOOSE( CONTROL!$C$32, 11.1719, 11.1665) * CHOOSE(CONTROL!$C$15, $D$11, 100%, $F$11)</f>
        <v>11.171900000000001</v>
      </c>
      <c r="J397" s="4">
        <f>CHOOSE( CONTROL!$C$32, 11.0523, 11.0469) * CHOOSE(CONTROL!$C$15, $D$11, 100%, $F$11)</f>
        <v>11.052300000000001</v>
      </c>
      <c r="K397" s="4"/>
      <c r="L397" s="9">
        <v>29.7257</v>
      </c>
      <c r="M397" s="9">
        <v>11.6745</v>
      </c>
      <c r="N397" s="9">
        <v>4.7850000000000001</v>
      </c>
      <c r="O397" s="9">
        <v>0.36199999999999999</v>
      </c>
      <c r="P397" s="9">
        <v>1.1791</v>
      </c>
      <c r="Q397" s="9">
        <v>19.675799999999999</v>
      </c>
      <c r="R397" s="9"/>
      <c r="S397" s="11"/>
    </row>
    <row r="398" spans="1:19" ht="15.75">
      <c r="A398" s="13">
        <v>53631</v>
      </c>
      <c r="B398" s="8">
        <f>12.0459 * CHOOSE(CONTROL!$C$15, $D$11, 100%, $F$11)</f>
        <v>12.0459</v>
      </c>
      <c r="C398" s="8">
        <f>12.0513 * CHOOSE(CONTROL!$C$15, $D$11, 100%, $F$11)</f>
        <v>12.051299999999999</v>
      </c>
      <c r="D398" s="8">
        <f>12.0825 * CHOOSE( CONTROL!$C$15, $D$11, 100%, $F$11)</f>
        <v>12.0825</v>
      </c>
      <c r="E398" s="12">
        <f>12.0716 * CHOOSE( CONTROL!$C$15, $D$11, 100%, $F$11)</f>
        <v>12.0716</v>
      </c>
      <c r="F398" s="4">
        <f>12.76 * CHOOSE(CONTROL!$C$15, $D$11, 100%, $F$11)</f>
        <v>12.76</v>
      </c>
      <c r="G398" s="8">
        <f>11.7523 * CHOOSE( CONTROL!$C$15, $D$11, 100%, $F$11)</f>
        <v>11.7523</v>
      </c>
      <c r="H398" s="4">
        <f>12.6975 * CHOOSE(CONTROL!$C$15, $D$11, 100%, $F$11)</f>
        <v>12.6975</v>
      </c>
      <c r="I398" s="8">
        <f>11.6584 * CHOOSE(CONTROL!$C$15, $D$11, 100%, $F$11)</f>
        <v>11.6584</v>
      </c>
      <c r="J398" s="4">
        <f>11.5377 * CHOOSE(CONTROL!$C$15, $D$11, 100%, $F$11)</f>
        <v>11.537699999999999</v>
      </c>
      <c r="K398" s="4"/>
      <c r="L398" s="9">
        <v>31.095300000000002</v>
      </c>
      <c r="M398" s="9">
        <v>12.063700000000001</v>
      </c>
      <c r="N398" s="9">
        <v>4.9444999999999997</v>
      </c>
      <c r="O398" s="9">
        <v>0.37409999999999999</v>
      </c>
      <c r="P398" s="9">
        <v>1.2183999999999999</v>
      </c>
      <c r="Q398" s="9">
        <v>20.331700000000001</v>
      </c>
      <c r="R398" s="9"/>
      <c r="S398" s="11"/>
    </row>
    <row r="399" spans="1:19" ht="15.75">
      <c r="A399" s="13">
        <v>53661</v>
      </c>
      <c r="B399" s="8">
        <f>12.9889 * CHOOSE(CONTROL!$C$15, $D$11, 100%, $F$11)</f>
        <v>12.988899999999999</v>
      </c>
      <c r="C399" s="8">
        <f>12.9941 * CHOOSE(CONTROL!$C$15, $D$11, 100%, $F$11)</f>
        <v>12.9941</v>
      </c>
      <c r="D399" s="8">
        <f>12.9803 * CHOOSE( CONTROL!$C$15, $D$11, 100%, $F$11)</f>
        <v>12.9803</v>
      </c>
      <c r="E399" s="12">
        <f>12.9848 * CHOOSE( CONTROL!$C$15, $D$11, 100%, $F$11)</f>
        <v>12.9848</v>
      </c>
      <c r="F399" s="4">
        <f>13.6394 * CHOOSE(CONTROL!$C$15, $D$11, 100%, $F$11)</f>
        <v>13.6394</v>
      </c>
      <c r="G399" s="8">
        <f>12.6814 * CHOOSE( CONTROL!$C$15, $D$11, 100%, $F$11)</f>
        <v>12.6814</v>
      </c>
      <c r="H399" s="4">
        <f>13.5564 * CHOOSE(CONTROL!$C$15, $D$11, 100%, $F$11)</f>
        <v>13.5564</v>
      </c>
      <c r="I399" s="8">
        <f>12.6083 * CHOOSE(CONTROL!$C$15, $D$11, 100%, $F$11)</f>
        <v>12.6083</v>
      </c>
      <c r="J399" s="4">
        <f>12.4435 * CHOOSE(CONTROL!$C$15, $D$11, 100%, $F$11)</f>
        <v>12.4435</v>
      </c>
      <c r="K399" s="4"/>
      <c r="L399" s="9">
        <v>28.360600000000002</v>
      </c>
      <c r="M399" s="9">
        <v>11.6745</v>
      </c>
      <c r="N399" s="9">
        <v>4.7850000000000001</v>
      </c>
      <c r="O399" s="9">
        <v>0.36199999999999999</v>
      </c>
      <c r="P399" s="9">
        <v>1.2509999999999999</v>
      </c>
      <c r="Q399" s="9">
        <v>19.675799999999999</v>
      </c>
      <c r="R399" s="9"/>
      <c r="S399" s="11"/>
    </row>
    <row r="400" spans="1:19" ht="15.75">
      <c r="A400" s="13">
        <v>53692</v>
      </c>
      <c r="B400" s="8">
        <f>12.9653 * CHOOSE(CONTROL!$C$15, $D$11, 100%, $F$11)</f>
        <v>12.965299999999999</v>
      </c>
      <c r="C400" s="8">
        <f>12.9705 * CHOOSE(CONTROL!$C$15, $D$11, 100%, $F$11)</f>
        <v>12.970499999999999</v>
      </c>
      <c r="D400" s="8">
        <f>12.9582 * CHOOSE( CONTROL!$C$15, $D$11, 100%, $F$11)</f>
        <v>12.9582</v>
      </c>
      <c r="E400" s="12">
        <f>12.9621 * CHOOSE( CONTROL!$C$15, $D$11, 100%, $F$11)</f>
        <v>12.9621</v>
      </c>
      <c r="F400" s="4">
        <f>13.6158 * CHOOSE(CONTROL!$C$15, $D$11, 100%, $F$11)</f>
        <v>13.6158</v>
      </c>
      <c r="G400" s="8">
        <f>12.6595 * CHOOSE( CONTROL!$C$15, $D$11, 100%, $F$11)</f>
        <v>12.6595</v>
      </c>
      <c r="H400" s="4">
        <f>13.5334 * CHOOSE(CONTROL!$C$15, $D$11, 100%, $F$11)</f>
        <v>13.5334</v>
      </c>
      <c r="I400" s="8">
        <f>12.5904 * CHOOSE(CONTROL!$C$15, $D$11, 100%, $F$11)</f>
        <v>12.590400000000001</v>
      </c>
      <c r="J400" s="4">
        <f>12.4208 * CHOOSE(CONTROL!$C$15, $D$11, 100%, $F$11)</f>
        <v>12.4208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20.331700000000001</v>
      </c>
      <c r="R400" s="9"/>
      <c r="S400" s="11"/>
    </row>
    <row r="401" spans="1:19" ht="15.75">
      <c r="A401" s="13">
        <v>53723</v>
      </c>
      <c r="B401" s="8">
        <f>13.4598 * CHOOSE(CONTROL!$C$15, $D$11, 100%, $F$11)</f>
        <v>13.4598</v>
      </c>
      <c r="C401" s="8">
        <f>13.465 * CHOOSE(CONTROL!$C$15, $D$11, 100%, $F$11)</f>
        <v>13.465</v>
      </c>
      <c r="D401" s="8">
        <f>13.4474 * CHOOSE( CONTROL!$C$15, $D$11, 100%, $F$11)</f>
        <v>13.4474</v>
      </c>
      <c r="E401" s="12">
        <f>13.4533 * CHOOSE( CONTROL!$C$15, $D$11, 100%, $F$11)</f>
        <v>13.4533</v>
      </c>
      <c r="F401" s="4">
        <f>14.1103 * CHOOSE(CONTROL!$C$15, $D$11, 100%, $F$11)</f>
        <v>14.110300000000001</v>
      </c>
      <c r="G401" s="8">
        <f>13.1324 * CHOOSE( CONTROL!$C$15, $D$11, 100%, $F$11)</f>
        <v>13.132400000000001</v>
      </c>
      <c r="H401" s="4">
        <f>14.0163 * CHOOSE(CONTROL!$C$15, $D$11, 100%, $F$11)</f>
        <v>14.016299999999999</v>
      </c>
      <c r="I401" s="8">
        <f>13.0252 * CHOOSE(CONTROL!$C$15, $D$11, 100%, $F$11)</f>
        <v>13.0252</v>
      </c>
      <c r="J401" s="4">
        <f>12.8956 * CHOOSE(CONTROL!$C$15, $D$11, 100%, $F$11)</f>
        <v>12.8956</v>
      </c>
      <c r="K401" s="4"/>
      <c r="L401" s="9">
        <v>29.306000000000001</v>
      </c>
      <c r="M401" s="9">
        <v>12.063700000000001</v>
      </c>
      <c r="N401" s="9">
        <v>4.9444999999999997</v>
      </c>
      <c r="O401" s="9">
        <v>0.37409999999999999</v>
      </c>
      <c r="P401" s="9">
        <v>1.2927</v>
      </c>
      <c r="Q401" s="9">
        <v>20.2666</v>
      </c>
      <c r="R401" s="9"/>
      <c r="S401" s="11"/>
    </row>
    <row r="402" spans="1:19" ht="15.75">
      <c r="A402" s="13">
        <v>53751</v>
      </c>
      <c r="B402" s="8">
        <f>12.5915 * CHOOSE(CONTROL!$C$15, $D$11, 100%, $F$11)</f>
        <v>12.5915</v>
      </c>
      <c r="C402" s="8">
        <f>12.5967 * CHOOSE(CONTROL!$C$15, $D$11, 100%, $F$11)</f>
        <v>12.5967</v>
      </c>
      <c r="D402" s="8">
        <f>12.579 * CHOOSE( CONTROL!$C$15, $D$11, 100%, $F$11)</f>
        <v>12.579000000000001</v>
      </c>
      <c r="E402" s="12">
        <f>12.5849 * CHOOSE( CONTROL!$C$15, $D$11, 100%, $F$11)</f>
        <v>12.584899999999999</v>
      </c>
      <c r="F402" s="4">
        <f>13.2419 * CHOOSE(CONTROL!$C$15, $D$11, 100%, $F$11)</f>
        <v>13.241899999999999</v>
      </c>
      <c r="G402" s="8">
        <f>12.2842 * CHOOSE( CONTROL!$C$15, $D$11, 100%, $F$11)</f>
        <v>12.2842</v>
      </c>
      <c r="H402" s="4">
        <f>13.1682 * CHOOSE(CONTROL!$C$15, $D$11, 100%, $F$11)</f>
        <v>13.168200000000001</v>
      </c>
      <c r="I402" s="8">
        <f>12.1909 * CHOOSE(CONTROL!$C$15, $D$11, 100%, $F$11)</f>
        <v>12.190899999999999</v>
      </c>
      <c r="J402" s="4">
        <f>12.0619 * CHOOSE(CONTROL!$C$15, $D$11, 100%, $F$11)</f>
        <v>12.0619</v>
      </c>
      <c r="K402" s="4"/>
      <c r="L402" s="9">
        <v>26.469899999999999</v>
      </c>
      <c r="M402" s="9">
        <v>10.8962</v>
      </c>
      <c r="N402" s="9">
        <v>4.4660000000000002</v>
      </c>
      <c r="O402" s="9">
        <v>0.33789999999999998</v>
      </c>
      <c r="P402" s="9">
        <v>1.1676</v>
      </c>
      <c r="Q402" s="9">
        <v>18.305299999999999</v>
      </c>
      <c r="R402" s="9"/>
      <c r="S402" s="11"/>
    </row>
    <row r="403" spans="1:19" ht="15.75">
      <c r="A403" s="13">
        <v>53782</v>
      </c>
      <c r="B403" s="8">
        <f>12.324 * CHOOSE(CONTROL!$C$15, $D$11, 100%, $F$11)</f>
        <v>12.324</v>
      </c>
      <c r="C403" s="8">
        <f>12.3292 * CHOOSE(CONTROL!$C$15, $D$11, 100%, $F$11)</f>
        <v>12.3292</v>
      </c>
      <c r="D403" s="8">
        <f>12.3112 * CHOOSE( CONTROL!$C$15, $D$11, 100%, $F$11)</f>
        <v>12.311199999999999</v>
      </c>
      <c r="E403" s="12">
        <f>12.3172 * CHOOSE( CONTROL!$C$15, $D$11, 100%, $F$11)</f>
        <v>12.3172</v>
      </c>
      <c r="F403" s="4">
        <f>12.9745 * CHOOSE(CONTROL!$C$15, $D$11, 100%, $F$11)</f>
        <v>12.974500000000001</v>
      </c>
      <c r="G403" s="8">
        <f>12.0227 * CHOOSE( CONTROL!$C$15, $D$11, 100%, $F$11)</f>
        <v>12.0227</v>
      </c>
      <c r="H403" s="4">
        <f>12.907 * CHOOSE(CONTROL!$C$15, $D$11, 100%, $F$11)</f>
        <v>12.907</v>
      </c>
      <c r="I403" s="8">
        <f>11.9328 * CHOOSE(CONTROL!$C$15, $D$11, 100%, $F$11)</f>
        <v>11.9328</v>
      </c>
      <c r="J403" s="4">
        <f>11.8051 * CHOOSE(CONTROL!$C$15, $D$11, 100%, $F$11)</f>
        <v>11.805099999999999</v>
      </c>
      <c r="K403" s="4"/>
      <c r="L403" s="9">
        <v>29.306000000000001</v>
      </c>
      <c r="M403" s="9">
        <v>12.063700000000001</v>
      </c>
      <c r="N403" s="9">
        <v>4.9444999999999997</v>
      </c>
      <c r="O403" s="9">
        <v>0.37409999999999999</v>
      </c>
      <c r="P403" s="9">
        <v>1.2927</v>
      </c>
      <c r="Q403" s="9">
        <v>20.2666</v>
      </c>
      <c r="R403" s="9"/>
      <c r="S403" s="11"/>
    </row>
    <row r="404" spans="1:19" ht="15.75">
      <c r="A404" s="13">
        <v>53812</v>
      </c>
      <c r="B404" s="8">
        <f>12.5117 * CHOOSE(CONTROL!$C$15, $D$11, 100%, $F$11)</f>
        <v>12.511699999999999</v>
      </c>
      <c r="C404" s="8">
        <f>12.5163 * CHOOSE(CONTROL!$C$15, $D$11, 100%, $F$11)</f>
        <v>12.516299999999999</v>
      </c>
      <c r="D404" s="8">
        <f>12.5474 * CHOOSE( CONTROL!$C$15, $D$11, 100%, $F$11)</f>
        <v>12.5474</v>
      </c>
      <c r="E404" s="12">
        <f>12.5366 * CHOOSE( CONTROL!$C$15, $D$11, 100%, $F$11)</f>
        <v>12.5366</v>
      </c>
      <c r="F404" s="4">
        <f>13.2254 * CHOOSE(CONTROL!$C$15, $D$11, 100%, $F$11)</f>
        <v>13.2254</v>
      </c>
      <c r="G404" s="8">
        <f>12.2061 * CHOOSE( CONTROL!$C$15, $D$11, 100%, $F$11)</f>
        <v>12.206099999999999</v>
      </c>
      <c r="H404" s="4">
        <f>13.1521 * CHOOSE(CONTROL!$C$15, $D$11, 100%, $F$11)</f>
        <v>13.152100000000001</v>
      </c>
      <c r="I404" s="8">
        <f>12.1029 * CHOOSE(CONTROL!$C$15, $D$11, 100%, $F$11)</f>
        <v>12.1029</v>
      </c>
      <c r="J404" s="4">
        <f>11.9845 * CHOOSE(CONTROL!$C$15, $D$11, 100%, $F$11)</f>
        <v>11.984500000000001</v>
      </c>
      <c r="K404" s="4"/>
      <c r="L404" s="9">
        <v>30.092199999999998</v>
      </c>
      <c r="M404" s="9">
        <v>11.6745</v>
      </c>
      <c r="N404" s="9">
        <v>4.7850000000000001</v>
      </c>
      <c r="O404" s="9">
        <v>0.36199999999999999</v>
      </c>
      <c r="P404" s="9">
        <v>1.1791</v>
      </c>
      <c r="Q404" s="9">
        <v>19.6128</v>
      </c>
      <c r="R404" s="9"/>
      <c r="S404" s="11"/>
    </row>
    <row r="405" spans="1:19" ht="15.75">
      <c r="A405" s="13">
        <v>53843</v>
      </c>
      <c r="B405" s="8">
        <f>CHOOSE( CONTROL!$C$32, 12.8512, 12.8456) * CHOOSE(CONTROL!$C$15, $D$11, 100%, $F$11)</f>
        <v>12.8512</v>
      </c>
      <c r="C405" s="8">
        <f>CHOOSE( CONTROL!$C$32, 12.8593, 12.8537) * CHOOSE(CONTROL!$C$15, $D$11, 100%, $F$11)</f>
        <v>12.859299999999999</v>
      </c>
      <c r="D405" s="8">
        <f>CHOOSE( CONTROL!$C$32, 12.8853, 12.8797) * CHOOSE( CONTROL!$C$15, $D$11, 100%, $F$11)</f>
        <v>12.885300000000001</v>
      </c>
      <c r="E405" s="12">
        <f>CHOOSE( CONTROL!$C$32, 12.8746, 12.869) * CHOOSE( CONTROL!$C$15, $D$11, 100%, $F$11)</f>
        <v>12.874599999999999</v>
      </c>
      <c r="F405" s="4">
        <f>CHOOSE( CONTROL!$C$32, 13.5636, 13.558) * CHOOSE(CONTROL!$C$15, $D$11, 100%, $F$11)</f>
        <v>13.563599999999999</v>
      </c>
      <c r="G405" s="8">
        <f>CHOOSE( CONTROL!$C$32, 12.5375, 12.5321) * CHOOSE( CONTROL!$C$15, $D$11, 100%, $F$11)</f>
        <v>12.5375</v>
      </c>
      <c r="H405" s="4">
        <f>CHOOSE( CONTROL!$C$32, 13.4824, 13.4769) * CHOOSE(CONTROL!$C$15, $D$11, 100%, $F$11)</f>
        <v>13.4824</v>
      </c>
      <c r="I405" s="8">
        <f>CHOOSE( CONTROL!$C$32, 12.4276, 12.4223) * CHOOSE(CONTROL!$C$15, $D$11, 100%, $F$11)</f>
        <v>12.4276</v>
      </c>
      <c r="J405" s="4">
        <f>CHOOSE( CONTROL!$C$32, 12.3092, 12.3039) * CHOOSE(CONTROL!$C$15, $D$11, 100%, $F$11)</f>
        <v>12.309200000000001</v>
      </c>
      <c r="K405" s="4"/>
      <c r="L405" s="9">
        <v>30.7165</v>
      </c>
      <c r="M405" s="9">
        <v>12.063700000000001</v>
      </c>
      <c r="N405" s="9">
        <v>4.9444999999999997</v>
      </c>
      <c r="O405" s="9">
        <v>0.37409999999999999</v>
      </c>
      <c r="P405" s="9">
        <v>1.2183999999999999</v>
      </c>
      <c r="Q405" s="9">
        <v>20.2666</v>
      </c>
      <c r="R405" s="9"/>
      <c r="S405" s="11"/>
    </row>
    <row r="406" spans="1:19" ht="15.75">
      <c r="A406" s="13">
        <v>53873</v>
      </c>
      <c r="B406" s="8">
        <f>CHOOSE( CONTROL!$C$32, 12.6452, 12.6396) * CHOOSE(CONTROL!$C$15, $D$11, 100%, $F$11)</f>
        <v>12.645200000000001</v>
      </c>
      <c r="C406" s="8">
        <f>CHOOSE( CONTROL!$C$32, 12.6533, 12.6477) * CHOOSE(CONTROL!$C$15, $D$11, 100%, $F$11)</f>
        <v>12.6533</v>
      </c>
      <c r="D406" s="8">
        <f>CHOOSE( CONTROL!$C$32, 12.6794, 12.6738) * CHOOSE( CONTROL!$C$15, $D$11, 100%, $F$11)</f>
        <v>12.679399999999999</v>
      </c>
      <c r="E406" s="12">
        <f>CHOOSE( CONTROL!$C$32, 12.6687, 12.6631) * CHOOSE( CONTROL!$C$15, $D$11, 100%, $F$11)</f>
        <v>12.668699999999999</v>
      </c>
      <c r="F406" s="4">
        <f>CHOOSE( CONTROL!$C$32, 13.3576, 13.352) * CHOOSE(CONTROL!$C$15, $D$11, 100%, $F$11)</f>
        <v>13.3576</v>
      </c>
      <c r="G406" s="8">
        <f>CHOOSE( CONTROL!$C$32, 12.3365, 12.3311) * CHOOSE( CONTROL!$C$15, $D$11, 100%, $F$11)</f>
        <v>12.336499999999999</v>
      </c>
      <c r="H406" s="4">
        <f>CHOOSE( CONTROL!$C$32, 13.2811, 13.2757) * CHOOSE(CONTROL!$C$15, $D$11, 100%, $F$11)</f>
        <v>13.2811</v>
      </c>
      <c r="I406" s="8">
        <f>CHOOSE( CONTROL!$C$32, 12.2305, 12.2252) * CHOOSE(CONTROL!$C$15, $D$11, 100%, $F$11)</f>
        <v>12.230499999999999</v>
      </c>
      <c r="J406" s="4">
        <f>CHOOSE( CONTROL!$C$32, 12.1114, 12.1061) * CHOOSE(CONTROL!$C$15, $D$11, 100%, $F$11)</f>
        <v>12.1114</v>
      </c>
      <c r="K406" s="4"/>
      <c r="L406" s="9">
        <v>29.7257</v>
      </c>
      <c r="M406" s="9">
        <v>11.6745</v>
      </c>
      <c r="N406" s="9">
        <v>4.7850000000000001</v>
      </c>
      <c r="O406" s="9">
        <v>0.36199999999999999</v>
      </c>
      <c r="P406" s="9">
        <v>1.1791</v>
      </c>
      <c r="Q406" s="9">
        <v>19.6128</v>
      </c>
      <c r="R406" s="9"/>
      <c r="S406" s="11"/>
    </row>
    <row r="407" spans="1:19" ht="15.75">
      <c r="A407" s="13">
        <v>53904</v>
      </c>
      <c r="B407" s="8">
        <f>CHOOSE( CONTROL!$C$32, 13.1877, 13.1822) * CHOOSE(CONTROL!$C$15, $D$11, 100%, $F$11)</f>
        <v>13.1877</v>
      </c>
      <c r="C407" s="8">
        <f>CHOOSE( CONTROL!$C$32, 13.1958, 13.1903) * CHOOSE(CONTROL!$C$15, $D$11, 100%, $F$11)</f>
        <v>13.1958</v>
      </c>
      <c r="D407" s="8">
        <f>CHOOSE( CONTROL!$C$32, 13.2222, 13.2166) * CHOOSE( CONTROL!$C$15, $D$11, 100%, $F$11)</f>
        <v>13.222200000000001</v>
      </c>
      <c r="E407" s="12">
        <f>CHOOSE( CONTROL!$C$32, 13.2114, 13.2058) * CHOOSE( CONTROL!$C$15, $D$11, 100%, $F$11)</f>
        <v>13.211399999999999</v>
      </c>
      <c r="F407" s="4">
        <f>CHOOSE( CONTROL!$C$32, 13.9001, 13.8946) * CHOOSE(CONTROL!$C$15, $D$11, 100%, $F$11)</f>
        <v>13.9001</v>
      </c>
      <c r="G407" s="8">
        <f>CHOOSE( CONTROL!$C$32, 12.8668, 12.8613) * CHOOSE( CONTROL!$C$15, $D$11, 100%, $F$11)</f>
        <v>12.8668</v>
      </c>
      <c r="H407" s="4">
        <f>CHOOSE( CONTROL!$C$32, 13.8111, 13.8056) * CHOOSE(CONTROL!$C$15, $D$11, 100%, $F$11)</f>
        <v>13.8111</v>
      </c>
      <c r="I407" s="8">
        <f>CHOOSE( CONTROL!$C$32, 12.7527, 12.7473) * CHOOSE(CONTROL!$C$15, $D$11, 100%, $F$11)</f>
        <v>12.752700000000001</v>
      </c>
      <c r="J407" s="4">
        <f>CHOOSE( CONTROL!$C$32, 12.6323, 12.627) * CHOOSE(CONTROL!$C$15, $D$11, 100%, $F$11)</f>
        <v>12.632300000000001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1.2183999999999999</v>
      </c>
      <c r="Q407" s="9">
        <v>20.2666</v>
      </c>
      <c r="R407" s="9"/>
      <c r="S407" s="11"/>
    </row>
    <row r="408" spans="1:19" ht="15.75">
      <c r="A408" s="13">
        <v>53935</v>
      </c>
      <c r="B408" s="8">
        <f>CHOOSE( CONTROL!$C$32, 12.1725, 12.167) * CHOOSE(CONTROL!$C$15, $D$11, 100%, $F$11)</f>
        <v>12.172499999999999</v>
      </c>
      <c r="C408" s="8">
        <f>CHOOSE( CONTROL!$C$32, 12.1806, 12.175) * CHOOSE(CONTROL!$C$15, $D$11, 100%, $F$11)</f>
        <v>12.1806</v>
      </c>
      <c r="D408" s="8">
        <f>CHOOSE( CONTROL!$C$32, 12.207, 12.2014) * CHOOSE( CONTROL!$C$15, $D$11, 100%, $F$11)</f>
        <v>12.207000000000001</v>
      </c>
      <c r="E408" s="12">
        <f>CHOOSE( CONTROL!$C$32, 12.1962, 12.1906) * CHOOSE( CONTROL!$C$15, $D$11, 100%, $F$11)</f>
        <v>12.196199999999999</v>
      </c>
      <c r="F408" s="4">
        <f>CHOOSE( CONTROL!$C$32, 12.8849, 12.8794) * CHOOSE(CONTROL!$C$15, $D$11, 100%, $F$11)</f>
        <v>12.8849</v>
      </c>
      <c r="G408" s="8">
        <f>CHOOSE( CONTROL!$C$32, 11.8753, 11.8699) * CHOOSE( CONTROL!$C$15, $D$11, 100%, $F$11)</f>
        <v>11.875299999999999</v>
      </c>
      <c r="H408" s="4">
        <f>CHOOSE( CONTROL!$C$32, 12.8195, 12.8141) * CHOOSE(CONTROL!$C$15, $D$11, 100%, $F$11)</f>
        <v>12.8195</v>
      </c>
      <c r="I408" s="8">
        <f>CHOOSE( CONTROL!$C$32, 11.7778, 11.7724) * CHOOSE(CONTROL!$C$15, $D$11, 100%, $F$11)</f>
        <v>11.777799999999999</v>
      </c>
      <c r="J408" s="4">
        <f>CHOOSE( CONTROL!$C$32, 11.6576, 11.6523) * CHOOSE(CONTROL!$C$15, $D$11, 100%, $F$11)</f>
        <v>11.6576</v>
      </c>
      <c r="K408" s="4"/>
      <c r="L408" s="9">
        <v>30.7165</v>
      </c>
      <c r="M408" s="9">
        <v>12.063700000000001</v>
      </c>
      <c r="N408" s="9">
        <v>4.9444999999999997</v>
      </c>
      <c r="O408" s="9">
        <v>0.37409999999999999</v>
      </c>
      <c r="P408" s="9">
        <v>1.2183999999999999</v>
      </c>
      <c r="Q408" s="9">
        <v>20.2666</v>
      </c>
      <c r="R408" s="9"/>
      <c r="S408" s="11"/>
    </row>
    <row r="409" spans="1:19" ht="15.75">
      <c r="A409" s="13">
        <v>53965</v>
      </c>
      <c r="B409" s="8">
        <f>CHOOSE( CONTROL!$C$32, 11.9183, 11.9127) * CHOOSE(CONTROL!$C$15, $D$11, 100%, $F$11)</f>
        <v>11.9183</v>
      </c>
      <c r="C409" s="8">
        <f>CHOOSE( CONTROL!$C$32, 11.9264, 11.9208) * CHOOSE(CONTROL!$C$15, $D$11, 100%, $F$11)</f>
        <v>11.926399999999999</v>
      </c>
      <c r="D409" s="8">
        <f>CHOOSE( CONTROL!$C$32, 11.9527, 11.9472) * CHOOSE( CONTROL!$C$15, $D$11, 100%, $F$11)</f>
        <v>11.9527</v>
      </c>
      <c r="E409" s="12">
        <f>CHOOSE( CONTROL!$C$32, 11.9419, 11.9364) * CHOOSE( CONTROL!$C$15, $D$11, 100%, $F$11)</f>
        <v>11.9419</v>
      </c>
      <c r="F409" s="4">
        <f>CHOOSE( CONTROL!$C$32, 12.6307, 12.6251) * CHOOSE(CONTROL!$C$15, $D$11, 100%, $F$11)</f>
        <v>12.630699999999999</v>
      </c>
      <c r="G409" s="8">
        <f>CHOOSE( CONTROL!$C$32, 11.6269, 11.6215) * CHOOSE( CONTROL!$C$15, $D$11, 100%, $F$11)</f>
        <v>11.626899999999999</v>
      </c>
      <c r="H409" s="4">
        <f>CHOOSE( CONTROL!$C$32, 12.5712, 12.5658) * CHOOSE(CONTROL!$C$15, $D$11, 100%, $F$11)</f>
        <v>12.571199999999999</v>
      </c>
      <c r="I409" s="8">
        <f>CHOOSE( CONTROL!$C$32, 11.5333, 11.528) * CHOOSE(CONTROL!$C$15, $D$11, 100%, $F$11)</f>
        <v>11.533300000000001</v>
      </c>
      <c r="J409" s="4">
        <f>CHOOSE( CONTROL!$C$32, 11.4135, 11.4082) * CHOOSE(CONTROL!$C$15, $D$11, 100%, $F$11)</f>
        <v>11.413500000000001</v>
      </c>
      <c r="K409" s="4"/>
      <c r="L409" s="9">
        <v>29.7257</v>
      </c>
      <c r="M409" s="9">
        <v>11.6745</v>
      </c>
      <c r="N409" s="9">
        <v>4.7850000000000001</v>
      </c>
      <c r="O409" s="9">
        <v>0.36199999999999999</v>
      </c>
      <c r="P409" s="9">
        <v>1.1791</v>
      </c>
      <c r="Q409" s="9">
        <v>19.6128</v>
      </c>
      <c r="R409" s="9"/>
      <c r="S409" s="11"/>
    </row>
    <row r="410" spans="1:19" ht="15.75">
      <c r="A410" s="13">
        <v>53996</v>
      </c>
      <c r="B410" s="8">
        <f>12.4389 * CHOOSE(CONTROL!$C$15, $D$11, 100%, $F$11)</f>
        <v>12.4389</v>
      </c>
      <c r="C410" s="8">
        <f>12.4443 * CHOOSE(CONTROL!$C$15, $D$11, 100%, $F$11)</f>
        <v>12.4443</v>
      </c>
      <c r="D410" s="8">
        <f>12.4755 * CHOOSE( CONTROL!$C$15, $D$11, 100%, $F$11)</f>
        <v>12.4755</v>
      </c>
      <c r="E410" s="12">
        <f>12.4646 * CHOOSE( CONTROL!$C$15, $D$11, 100%, $F$11)</f>
        <v>12.464600000000001</v>
      </c>
      <c r="F410" s="4">
        <f>13.153 * CHOOSE(CONTROL!$C$15, $D$11, 100%, $F$11)</f>
        <v>13.153</v>
      </c>
      <c r="G410" s="8">
        <f>12.1362 * CHOOSE( CONTROL!$C$15, $D$11, 100%, $F$11)</f>
        <v>12.136200000000001</v>
      </c>
      <c r="H410" s="4">
        <f>13.0813 * CHOOSE(CONTROL!$C$15, $D$11, 100%, $F$11)</f>
        <v>13.081300000000001</v>
      </c>
      <c r="I410" s="8">
        <f>12.0359 * CHOOSE(CONTROL!$C$15, $D$11, 100%, $F$11)</f>
        <v>12.0359</v>
      </c>
      <c r="J410" s="4">
        <f>11.915 * CHOOSE(CONTROL!$C$15, $D$11, 100%, $F$11)</f>
        <v>11.914999999999999</v>
      </c>
      <c r="K410" s="4"/>
      <c r="L410" s="9">
        <v>31.095300000000002</v>
      </c>
      <c r="M410" s="9">
        <v>12.063700000000001</v>
      </c>
      <c r="N410" s="9">
        <v>4.9444999999999997</v>
      </c>
      <c r="O410" s="9">
        <v>0.37409999999999999</v>
      </c>
      <c r="P410" s="9">
        <v>1.2183999999999999</v>
      </c>
      <c r="Q410" s="9">
        <v>20.2666</v>
      </c>
      <c r="R410" s="9"/>
      <c r="S410" s="11"/>
    </row>
    <row r="411" spans="1:19" ht="15.75">
      <c r="A411" s="13">
        <v>54026</v>
      </c>
      <c r="B411" s="8">
        <f>13.4128 * CHOOSE(CONTROL!$C$15, $D$11, 100%, $F$11)</f>
        <v>13.412800000000001</v>
      </c>
      <c r="C411" s="8">
        <f>13.418 * CHOOSE(CONTROL!$C$15, $D$11, 100%, $F$11)</f>
        <v>13.417999999999999</v>
      </c>
      <c r="D411" s="8">
        <f>13.4042 * CHOOSE( CONTROL!$C$15, $D$11, 100%, $F$11)</f>
        <v>13.404199999999999</v>
      </c>
      <c r="E411" s="12">
        <f>13.4087 * CHOOSE( CONTROL!$C$15, $D$11, 100%, $F$11)</f>
        <v>13.4087</v>
      </c>
      <c r="F411" s="4">
        <f>14.0632 * CHOOSE(CONTROL!$C$15, $D$11, 100%, $F$11)</f>
        <v>14.0632</v>
      </c>
      <c r="G411" s="8">
        <f>13.0954 * CHOOSE( CONTROL!$C$15, $D$11, 100%, $F$11)</f>
        <v>13.0954</v>
      </c>
      <c r="H411" s="4">
        <f>13.9704 * CHOOSE(CONTROL!$C$15, $D$11, 100%, $F$11)</f>
        <v>13.9704</v>
      </c>
      <c r="I411" s="8">
        <f>13.0154 * CHOOSE(CONTROL!$C$15, $D$11, 100%, $F$11)</f>
        <v>13.0154</v>
      </c>
      <c r="J411" s="4">
        <f>12.8504 * CHOOSE(CONTROL!$C$15, $D$11, 100%, $F$11)</f>
        <v>12.8504</v>
      </c>
      <c r="K411" s="4"/>
      <c r="L411" s="9">
        <v>28.360600000000002</v>
      </c>
      <c r="M411" s="9">
        <v>11.6745</v>
      </c>
      <c r="N411" s="9">
        <v>4.7850000000000001</v>
      </c>
      <c r="O411" s="9">
        <v>0.36199999999999999</v>
      </c>
      <c r="P411" s="9">
        <v>1.2509999999999999</v>
      </c>
      <c r="Q411" s="9">
        <v>19.6128</v>
      </c>
      <c r="R411" s="9"/>
      <c r="S411" s="11"/>
    </row>
    <row r="412" spans="1:19" ht="15.75">
      <c r="A412" s="13">
        <v>54057</v>
      </c>
      <c r="B412" s="8">
        <f>13.3884 * CHOOSE(CONTROL!$C$15, $D$11, 100%, $F$11)</f>
        <v>13.388400000000001</v>
      </c>
      <c r="C412" s="8">
        <f>13.3936 * CHOOSE(CONTROL!$C$15, $D$11, 100%, $F$11)</f>
        <v>13.393599999999999</v>
      </c>
      <c r="D412" s="8">
        <f>13.3813 * CHOOSE( CONTROL!$C$15, $D$11, 100%, $F$11)</f>
        <v>13.3813</v>
      </c>
      <c r="E412" s="12">
        <f>13.3852 * CHOOSE( CONTROL!$C$15, $D$11, 100%, $F$11)</f>
        <v>13.385199999999999</v>
      </c>
      <c r="F412" s="4">
        <f>14.0389 * CHOOSE(CONTROL!$C$15, $D$11, 100%, $F$11)</f>
        <v>14.0389</v>
      </c>
      <c r="G412" s="8">
        <f>13.0727 * CHOOSE( CONTROL!$C$15, $D$11, 100%, $F$11)</f>
        <v>13.072699999999999</v>
      </c>
      <c r="H412" s="4">
        <f>13.9466 * CHOOSE(CONTROL!$C$15, $D$11, 100%, $F$11)</f>
        <v>13.9466</v>
      </c>
      <c r="I412" s="8">
        <f>12.9968 * CHOOSE(CONTROL!$C$15, $D$11, 100%, $F$11)</f>
        <v>12.9968</v>
      </c>
      <c r="J412" s="4">
        <f>12.8271 * CHOOSE(CONTROL!$C$15, $D$11, 100%, $F$11)</f>
        <v>12.8271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20.2666</v>
      </c>
      <c r="R412" s="9"/>
      <c r="S412" s="11"/>
    </row>
    <row r="413" spans="1:19" ht="15.75">
      <c r="A413" s="13">
        <v>54088</v>
      </c>
      <c r="B413" s="8">
        <f>13.899 * CHOOSE(CONTROL!$C$15, $D$11, 100%, $F$11)</f>
        <v>13.898999999999999</v>
      </c>
      <c r="C413" s="8">
        <f>13.9042 * CHOOSE(CONTROL!$C$15, $D$11, 100%, $F$11)</f>
        <v>13.904199999999999</v>
      </c>
      <c r="D413" s="8">
        <f>13.8867 * CHOOSE( CONTROL!$C$15, $D$11, 100%, $F$11)</f>
        <v>13.886699999999999</v>
      </c>
      <c r="E413" s="12">
        <f>13.8925 * CHOOSE( CONTROL!$C$15, $D$11, 100%, $F$11)</f>
        <v>13.8925</v>
      </c>
      <c r="F413" s="4">
        <f>14.5495 * CHOOSE(CONTROL!$C$15, $D$11, 100%, $F$11)</f>
        <v>14.5495</v>
      </c>
      <c r="G413" s="8">
        <f>13.5614 * CHOOSE( CONTROL!$C$15, $D$11, 100%, $F$11)</f>
        <v>13.561400000000001</v>
      </c>
      <c r="H413" s="4">
        <f>14.4453 * CHOOSE(CONTROL!$C$15, $D$11, 100%, $F$11)</f>
        <v>14.4453</v>
      </c>
      <c r="I413" s="8">
        <f>13.4471 * CHOOSE(CONTROL!$C$15, $D$11, 100%, $F$11)</f>
        <v>13.447100000000001</v>
      </c>
      <c r="J413" s="4">
        <f>13.3173 * CHOOSE(CONTROL!$C$15, $D$11, 100%, $F$11)</f>
        <v>13.317299999999999</v>
      </c>
      <c r="K413" s="4"/>
      <c r="L413" s="9">
        <v>29.306000000000001</v>
      </c>
      <c r="M413" s="9">
        <v>12.063700000000001</v>
      </c>
      <c r="N413" s="9">
        <v>4.9444999999999997</v>
      </c>
      <c r="O413" s="9">
        <v>0.37409999999999999</v>
      </c>
      <c r="P413" s="9">
        <v>1.2927</v>
      </c>
      <c r="Q413" s="9">
        <v>20.201499999999999</v>
      </c>
      <c r="R413" s="9"/>
      <c r="S413" s="11"/>
    </row>
    <row r="414" spans="1:19" ht="15.75">
      <c r="A414" s="13">
        <v>54116</v>
      </c>
      <c r="B414" s="8">
        <f>13.0023 * CHOOSE(CONTROL!$C$15, $D$11, 100%, $F$11)</f>
        <v>13.0023</v>
      </c>
      <c r="C414" s="8">
        <f>13.0075 * CHOOSE(CONTROL!$C$15, $D$11, 100%, $F$11)</f>
        <v>13.0075</v>
      </c>
      <c r="D414" s="8">
        <f>12.9899 * CHOOSE( CONTROL!$C$15, $D$11, 100%, $F$11)</f>
        <v>12.9899</v>
      </c>
      <c r="E414" s="12">
        <f>12.9958 * CHOOSE( CONTROL!$C$15, $D$11, 100%, $F$11)</f>
        <v>12.995799999999999</v>
      </c>
      <c r="F414" s="4">
        <f>13.6528 * CHOOSE(CONTROL!$C$15, $D$11, 100%, $F$11)</f>
        <v>13.652799999999999</v>
      </c>
      <c r="G414" s="8">
        <f>12.6855 * CHOOSE( CONTROL!$C$15, $D$11, 100%, $F$11)</f>
        <v>12.685499999999999</v>
      </c>
      <c r="H414" s="4">
        <f>13.5695 * CHOOSE(CONTROL!$C$15, $D$11, 100%, $F$11)</f>
        <v>13.5695</v>
      </c>
      <c r="I414" s="8">
        <f>12.5856 * CHOOSE(CONTROL!$C$15, $D$11, 100%, $F$11)</f>
        <v>12.585599999999999</v>
      </c>
      <c r="J414" s="4">
        <f>12.4564 * CHOOSE(CONTROL!$C$15, $D$11, 100%, $F$11)</f>
        <v>12.4564</v>
      </c>
      <c r="K414" s="4"/>
      <c r="L414" s="9">
        <v>27.415299999999998</v>
      </c>
      <c r="M414" s="9">
        <v>11.285299999999999</v>
      </c>
      <c r="N414" s="9">
        <v>4.6254999999999997</v>
      </c>
      <c r="O414" s="9">
        <v>0.34989999999999999</v>
      </c>
      <c r="P414" s="9">
        <v>1.2093</v>
      </c>
      <c r="Q414" s="9">
        <v>18.898099999999999</v>
      </c>
      <c r="R414" s="9"/>
      <c r="S414" s="11"/>
    </row>
    <row r="415" spans="1:19" ht="15.75">
      <c r="A415" s="13">
        <v>54148</v>
      </c>
      <c r="B415" s="8">
        <f>12.7261 * CHOOSE(CONTROL!$C$15, $D$11, 100%, $F$11)</f>
        <v>12.726100000000001</v>
      </c>
      <c r="C415" s="8">
        <f>12.7313 * CHOOSE(CONTROL!$C$15, $D$11, 100%, $F$11)</f>
        <v>12.731299999999999</v>
      </c>
      <c r="D415" s="8">
        <f>12.7133 * CHOOSE( CONTROL!$C$15, $D$11, 100%, $F$11)</f>
        <v>12.7133</v>
      </c>
      <c r="E415" s="12">
        <f>12.7193 * CHOOSE( CONTROL!$C$15, $D$11, 100%, $F$11)</f>
        <v>12.7193</v>
      </c>
      <c r="F415" s="4">
        <f>13.3766 * CHOOSE(CONTROL!$C$15, $D$11, 100%, $F$11)</f>
        <v>13.3766</v>
      </c>
      <c r="G415" s="8">
        <f>12.4155 * CHOOSE( CONTROL!$C$15, $D$11, 100%, $F$11)</f>
        <v>12.4155</v>
      </c>
      <c r="H415" s="4">
        <f>13.2997 * CHOOSE(CONTROL!$C$15, $D$11, 100%, $F$11)</f>
        <v>13.2997</v>
      </c>
      <c r="I415" s="8">
        <f>12.3191 * CHOOSE(CONTROL!$C$15, $D$11, 100%, $F$11)</f>
        <v>12.319100000000001</v>
      </c>
      <c r="J415" s="4">
        <f>12.1912 * CHOOSE(CONTROL!$C$15, $D$11, 100%, $F$11)</f>
        <v>12.1912</v>
      </c>
      <c r="K415" s="4"/>
      <c r="L415" s="9">
        <v>29.306000000000001</v>
      </c>
      <c r="M415" s="9">
        <v>12.063700000000001</v>
      </c>
      <c r="N415" s="9">
        <v>4.9444999999999997</v>
      </c>
      <c r="O415" s="9">
        <v>0.37409999999999999</v>
      </c>
      <c r="P415" s="9">
        <v>1.2927</v>
      </c>
      <c r="Q415" s="9">
        <v>20.201499999999999</v>
      </c>
      <c r="R415" s="9"/>
      <c r="S415" s="11"/>
    </row>
    <row r="416" spans="1:19" ht="15.75">
      <c r="A416" s="13">
        <v>54178</v>
      </c>
      <c r="B416" s="8">
        <f>12.9199 * CHOOSE(CONTROL!$C$15, $D$11, 100%, $F$11)</f>
        <v>12.9199</v>
      </c>
      <c r="C416" s="8">
        <f>12.9245 * CHOOSE(CONTROL!$C$15, $D$11, 100%, $F$11)</f>
        <v>12.9245</v>
      </c>
      <c r="D416" s="8">
        <f>12.9556 * CHOOSE( CONTROL!$C$15, $D$11, 100%, $F$11)</f>
        <v>12.9556</v>
      </c>
      <c r="E416" s="12">
        <f>12.9448 * CHOOSE( CONTROL!$C$15, $D$11, 100%, $F$11)</f>
        <v>12.944800000000001</v>
      </c>
      <c r="F416" s="4">
        <f>13.6337 * CHOOSE(CONTROL!$C$15, $D$11, 100%, $F$11)</f>
        <v>13.633699999999999</v>
      </c>
      <c r="G416" s="8">
        <f>12.6048 * CHOOSE( CONTROL!$C$15, $D$11, 100%, $F$11)</f>
        <v>12.604799999999999</v>
      </c>
      <c r="H416" s="4">
        <f>13.5508 * CHOOSE(CONTROL!$C$15, $D$11, 100%, $F$11)</f>
        <v>13.550800000000001</v>
      </c>
      <c r="I416" s="8">
        <f>12.495 * CHOOSE(CONTROL!$C$15, $D$11, 100%, $F$11)</f>
        <v>12.494999999999999</v>
      </c>
      <c r="J416" s="4">
        <f>12.3765 * CHOOSE(CONTROL!$C$15, $D$11, 100%, $F$11)</f>
        <v>12.3765</v>
      </c>
      <c r="K416" s="4"/>
      <c r="L416" s="9">
        <v>30.092199999999998</v>
      </c>
      <c r="M416" s="9">
        <v>11.6745</v>
      </c>
      <c r="N416" s="9">
        <v>4.7850000000000001</v>
      </c>
      <c r="O416" s="9">
        <v>0.36199999999999999</v>
      </c>
      <c r="P416" s="9">
        <v>1.1791</v>
      </c>
      <c r="Q416" s="9">
        <v>19.549800000000001</v>
      </c>
      <c r="R416" s="9"/>
      <c r="S416" s="11"/>
    </row>
    <row r="417" spans="1:19" ht="15.75">
      <c r="A417" s="13">
        <v>54209</v>
      </c>
      <c r="B417" s="8">
        <f>CHOOSE( CONTROL!$C$32, 13.2703, 13.2647) * CHOOSE(CONTROL!$C$15, $D$11, 100%, $F$11)</f>
        <v>13.270300000000001</v>
      </c>
      <c r="C417" s="8">
        <f>CHOOSE( CONTROL!$C$32, 13.2784, 13.2728) * CHOOSE(CONTROL!$C$15, $D$11, 100%, $F$11)</f>
        <v>13.2784</v>
      </c>
      <c r="D417" s="8">
        <f>CHOOSE( CONTROL!$C$32, 13.3044, 13.2988) * CHOOSE( CONTROL!$C$15, $D$11, 100%, $F$11)</f>
        <v>13.304399999999999</v>
      </c>
      <c r="E417" s="12">
        <f>CHOOSE( CONTROL!$C$32, 13.2937, 13.2881) * CHOOSE( CONTROL!$C$15, $D$11, 100%, $F$11)</f>
        <v>13.293699999999999</v>
      </c>
      <c r="F417" s="4">
        <f>CHOOSE( CONTROL!$C$32, 13.9827, 13.9771) * CHOOSE(CONTROL!$C$15, $D$11, 100%, $F$11)</f>
        <v>13.982699999999999</v>
      </c>
      <c r="G417" s="8">
        <f>CHOOSE( CONTROL!$C$32, 12.9469, 12.9414) * CHOOSE( CONTROL!$C$15, $D$11, 100%, $F$11)</f>
        <v>12.946899999999999</v>
      </c>
      <c r="H417" s="4">
        <f>CHOOSE( CONTROL!$C$32, 13.8917, 13.8863) * CHOOSE(CONTROL!$C$15, $D$11, 100%, $F$11)</f>
        <v>13.8917</v>
      </c>
      <c r="I417" s="8">
        <f>CHOOSE( CONTROL!$C$32, 12.8302, 12.8249) * CHOOSE(CONTROL!$C$15, $D$11, 100%, $F$11)</f>
        <v>12.8302</v>
      </c>
      <c r="J417" s="4">
        <f>CHOOSE( CONTROL!$C$32, 12.7116, 12.7063) * CHOOSE(CONTROL!$C$15, $D$11, 100%, $F$11)</f>
        <v>12.711600000000001</v>
      </c>
      <c r="K417" s="4"/>
      <c r="L417" s="9">
        <v>30.7165</v>
      </c>
      <c r="M417" s="9">
        <v>12.063700000000001</v>
      </c>
      <c r="N417" s="9">
        <v>4.9444999999999997</v>
      </c>
      <c r="O417" s="9">
        <v>0.37409999999999999</v>
      </c>
      <c r="P417" s="9">
        <v>1.2183999999999999</v>
      </c>
      <c r="Q417" s="9">
        <v>20.201499999999999</v>
      </c>
      <c r="R417" s="9"/>
      <c r="S417" s="11"/>
    </row>
    <row r="418" spans="1:19" ht="15.75">
      <c r="A418" s="13">
        <v>54239</v>
      </c>
      <c r="B418" s="8">
        <f>CHOOSE( CONTROL!$C$32, 13.0575, 13.052) * CHOOSE(CONTROL!$C$15, $D$11, 100%, $F$11)</f>
        <v>13.057499999999999</v>
      </c>
      <c r="C418" s="8">
        <f>CHOOSE( CONTROL!$C$32, 13.0656, 13.0601) * CHOOSE(CONTROL!$C$15, $D$11, 100%, $F$11)</f>
        <v>13.0656</v>
      </c>
      <c r="D418" s="8">
        <f>CHOOSE( CONTROL!$C$32, 13.0918, 13.0862) * CHOOSE( CONTROL!$C$15, $D$11, 100%, $F$11)</f>
        <v>13.091799999999999</v>
      </c>
      <c r="E418" s="12">
        <f>CHOOSE( CONTROL!$C$32, 13.0811, 13.0755) * CHOOSE( CONTROL!$C$15, $D$11, 100%, $F$11)</f>
        <v>13.081099999999999</v>
      </c>
      <c r="F418" s="4">
        <f>CHOOSE( CONTROL!$C$32, 13.7699, 13.7644) * CHOOSE(CONTROL!$C$15, $D$11, 100%, $F$11)</f>
        <v>13.7699</v>
      </c>
      <c r="G418" s="8">
        <f>CHOOSE( CONTROL!$C$32, 12.7393, 12.7339) * CHOOSE( CONTROL!$C$15, $D$11, 100%, $F$11)</f>
        <v>12.7393</v>
      </c>
      <c r="H418" s="4">
        <f>CHOOSE( CONTROL!$C$32, 13.6839, 13.6785) * CHOOSE(CONTROL!$C$15, $D$11, 100%, $F$11)</f>
        <v>13.6839</v>
      </c>
      <c r="I418" s="8">
        <f>CHOOSE( CONTROL!$C$32, 12.6267, 12.6213) * CHOOSE(CONTROL!$C$15, $D$11, 100%, $F$11)</f>
        <v>12.6267</v>
      </c>
      <c r="J418" s="4">
        <f>CHOOSE( CONTROL!$C$32, 12.5073, 12.502) * CHOOSE(CONTROL!$C$15, $D$11, 100%, $F$11)</f>
        <v>12.507300000000001</v>
      </c>
      <c r="K418" s="4"/>
      <c r="L418" s="9">
        <v>29.7257</v>
      </c>
      <c r="M418" s="9">
        <v>11.6745</v>
      </c>
      <c r="N418" s="9">
        <v>4.7850000000000001</v>
      </c>
      <c r="O418" s="9">
        <v>0.36199999999999999</v>
      </c>
      <c r="P418" s="9">
        <v>1.1791</v>
      </c>
      <c r="Q418" s="9">
        <v>19.549800000000001</v>
      </c>
      <c r="R418" s="9"/>
      <c r="S418" s="11"/>
    </row>
    <row r="419" spans="1:19" ht="15.75">
      <c r="A419" s="13">
        <v>54270</v>
      </c>
      <c r="B419" s="8">
        <f>CHOOSE( CONTROL!$C$32, 13.6179, 13.6123) * CHOOSE(CONTROL!$C$15, $D$11, 100%, $F$11)</f>
        <v>13.617900000000001</v>
      </c>
      <c r="C419" s="8">
        <f>CHOOSE( CONTROL!$C$32, 13.6259, 13.6204) * CHOOSE(CONTROL!$C$15, $D$11, 100%, $F$11)</f>
        <v>13.6259</v>
      </c>
      <c r="D419" s="8">
        <f>CHOOSE( CONTROL!$C$32, 13.6523, 13.6467) * CHOOSE( CONTROL!$C$15, $D$11, 100%, $F$11)</f>
        <v>13.6523</v>
      </c>
      <c r="E419" s="12">
        <f>CHOOSE( CONTROL!$C$32, 13.6415, 13.6359) * CHOOSE( CONTROL!$C$15, $D$11, 100%, $F$11)</f>
        <v>13.641500000000001</v>
      </c>
      <c r="F419" s="4">
        <f>CHOOSE( CONTROL!$C$32, 14.3303, 14.3247) * CHOOSE(CONTROL!$C$15, $D$11, 100%, $F$11)</f>
        <v>14.330299999999999</v>
      </c>
      <c r="G419" s="8">
        <f>CHOOSE( CONTROL!$C$32, 13.2869, 13.2814) * CHOOSE( CONTROL!$C$15, $D$11, 100%, $F$11)</f>
        <v>13.286899999999999</v>
      </c>
      <c r="H419" s="4">
        <f>CHOOSE( CONTROL!$C$32, 14.2312, 14.2257) * CHOOSE(CONTROL!$C$15, $D$11, 100%, $F$11)</f>
        <v>14.231199999999999</v>
      </c>
      <c r="I419" s="8">
        <f>CHOOSE( CONTROL!$C$32, 13.1658, 13.1605) * CHOOSE(CONTROL!$C$15, $D$11, 100%, $F$11)</f>
        <v>13.165800000000001</v>
      </c>
      <c r="J419" s="4">
        <f>CHOOSE( CONTROL!$C$32, 13.0453, 13.0399) * CHOOSE(CONTROL!$C$15, $D$11, 100%, $F$11)</f>
        <v>13.045299999999999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1.2183999999999999</v>
      </c>
      <c r="Q419" s="9">
        <v>20.201499999999999</v>
      </c>
      <c r="R419" s="9"/>
      <c r="S419" s="11"/>
    </row>
    <row r="420" spans="1:19" ht="15.75">
      <c r="A420" s="13">
        <v>54301</v>
      </c>
      <c r="B420" s="8">
        <f>CHOOSE( CONTROL!$C$32, 12.5694, 12.5639) * CHOOSE(CONTROL!$C$15, $D$11, 100%, $F$11)</f>
        <v>12.5694</v>
      </c>
      <c r="C420" s="8">
        <f>CHOOSE( CONTROL!$C$32, 12.5775, 12.572) * CHOOSE(CONTROL!$C$15, $D$11, 100%, $F$11)</f>
        <v>12.577500000000001</v>
      </c>
      <c r="D420" s="8">
        <f>CHOOSE( CONTROL!$C$32, 12.6039, 12.5984) * CHOOSE( CONTROL!$C$15, $D$11, 100%, $F$11)</f>
        <v>12.603899999999999</v>
      </c>
      <c r="E420" s="12">
        <f>CHOOSE( CONTROL!$C$32, 12.5931, 12.5876) * CHOOSE( CONTROL!$C$15, $D$11, 100%, $F$11)</f>
        <v>12.5931</v>
      </c>
      <c r="F420" s="4">
        <f>CHOOSE( CONTROL!$C$32, 13.2818, 13.2763) * CHOOSE(CONTROL!$C$15, $D$11, 100%, $F$11)</f>
        <v>13.2818</v>
      </c>
      <c r="G420" s="8">
        <f>CHOOSE( CONTROL!$C$32, 12.263, 12.2575) * CHOOSE( CONTROL!$C$15, $D$11, 100%, $F$11)</f>
        <v>12.263</v>
      </c>
      <c r="H420" s="4">
        <f>CHOOSE( CONTROL!$C$32, 13.2072, 13.2017) * CHOOSE(CONTROL!$C$15, $D$11, 100%, $F$11)</f>
        <v>13.2072</v>
      </c>
      <c r="I420" s="8">
        <f>CHOOSE( CONTROL!$C$32, 12.159, 12.1537) * CHOOSE(CONTROL!$C$15, $D$11, 100%, $F$11)</f>
        <v>12.159000000000001</v>
      </c>
      <c r="J420" s="4">
        <f>CHOOSE( CONTROL!$C$32, 12.0387, 12.0334) * CHOOSE(CONTROL!$C$15, $D$11, 100%, $F$11)</f>
        <v>12.0387</v>
      </c>
      <c r="K420" s="4"/>
      <c r="L420" s="9">
        <v>30.7165</v>
      </c>
      <c r="M420" s="9">
        <v>12.063700000000001</v>
      </c>
      <c r="N420" s="9">
        <v>4.9444999999999997</v>
      </c>
      <c r="O420" s="9">
        <v>0.37409999999999999</v>
      </c>
      <c r="P420" s="9">
        <v>1.2183999999999999</v>
      </c>
      <c r="Q420" s="9">
        <v>20.201499999999999</v>
      </c>
      <c r="R420" s="9"/>
      <c r="S420" s="11"/>
    </row>
    <row r="421" spans="1:19" ht="15.75">
      <c r="A421" s="13">
        <v>54331</v>
      </c>
      <c r="B421" s="8">
        <f>CHOOSE( CONTROL!$C$32, 12.3069, 12.3013) * CHOOSE(CONTROL!$C$15, $D$11, 100%, $F$11)</f>
        <v>12.306900000000001</v>
      </c>
      <c r="C421" s="8">
        <f>CHOOSE( CONTROL!$C$32, 12.315, 12.3094) * CHOOSE(CONTROL!$C$15, $D$11, 100%, $F$11)</f>
        <v>12.315</v>
      </c>
      <c r="D421" s="8">
        <f>CHOOSE( CONTROL!$C$32, 12.3413, 12.3358) * CHOOSE( CONTROL!$C$15, $D$11, 100%, $F$11)</f>
        <v>12.3413</v>
      </c>
      <c r="E421" s="12">
        <f>CHOOSE( CONTROL!$C$32, 12.3305, 12.325) * CHOOSE( CONTROL!$C$15, $D$11, 100%, $F$11)</f>
        <v>12.330500000000001</v>
      </c>
      <c r="F421" s="4">
        <f>CHOOSE( CONTROL!$C$32, 13.0193, 13.0137) * CHOOSE(CONTROL!$C$15, $D$11, 100%, $F$11)</f>
        <v>13.019299999999999</v>
      </c>
      <c r="G421" s="8">
        <f>CHOOSE( CONTROL!$C$32, 12.0065, 12.001) * CHOOSE( CONTROL!$C$15, $D$11, 100%, $F$11)</f>
        <v>12.006500000000001</v>
      </c>
      <c r="H421" s="4">
        <f>CHOOSE( CONTROL!$C$32, 12.9508, 12.9453) * CHOOSE(CONTROL!$C$15, $D$11, 100%, $F$11)</f>
        <v>12.950799999999999</v>
      </c>
      <c r="I421" s="8">
        <f>CHOOSE( CONTROL!$C$32, 11.9066, 11.9013) * CHOOSE(CONTROL!$C$15, $D$11, 100%, $F$11)</f>
        <v>11.906599999999999</v>
      </c>
      <c r="J421" s="4">
        <f>CHOOSE( CONTROL!$C$32, 11.7866, 11.7813) * CHOOSE(CONTROL!$C$15, $D$11, 100%, $F$11)</f>
        <v>11.7866</v>
      </c>
      <c r="K421" s="4"/>
      <c r="L421" s="9">
        <v>29.7257</v>
      </c>
      <c r="M421" s="9">
        <v>11.6745</v>
      </c>
      <c r="N421" s="9">
        <v>4.7850000000000001</v>
      </c>
      <c r="O421" s="9">
        <v>0.36199999999999999</v>
      </c>
      <c r="P421" s="9">
        <v>1.1791</v>
      </c>
      <c r="Q421" s="9">
        <v>19.549800000000001</v>
      </c>
      <c r="R421" s="9"/>
      <c r="S421" s="11"/>
    </row>
    <row r="422" spans="1:19" ht="15.75">
      <c r="A422" s="13">
        <v>54362</v>
      </c>
      <c r="B422" s="8">
        <f>12.8447 * CHOOSE(CONTROL!$C$15, $D$11, 100%, $F$11)</f>
        <v>12.8447</v>
      </c>
      <c r="C422" s="8">
        <f>12.8502 * CHOOSE(CONTROL!$C$15, $D$11, 100%, $F$11)</f>
        <v>12.850199999999999</v>
      </c>
      <c r="D422" s="8">
        <f>12.8814 * CHOOSE( CONTROL!$C$15, $D$11, 100%, $F$11)</f>
        <v>12.881399999999999</v>
      </c>
      <c r="E422" s="12">
        <f>12.8705 * CHOOSE( CONTROL!$C$15, $D$11, 100%, $F$11)</f>
        <v>12.8705</v>
      </c>
      <c r="F422" s="4">
        <f>13.5588 * CHOOSE(CONTROL!$C$15, $D$11, 100%, $F$11)</f>
        <v>13.5588</v>
      </c>
      <c r="G422" s="8">
        <f>12.5326 * CHOOSE( CONTROL!$C$15, $D$11, 100%, $F$11)</f>
        <v>12.5326</v>
      </c>
      <c r="H422" s="4">
        <f>13.4777 * CHOOSE(CONTROL!$C$15, $D$11, 100%, $F$11)</f>
        <v>13.4777</v>
      </c>
      <c r="I422" s="8">
        <f>12.4258 * CHOOSE(CONTROL!$C$15, $D$11, 100%, $F$11)</f>
        <v>12.425800000000001</v>
      </c>
      <c r="J422" s="4">
        <f>12.3047 * CHOOSE(CONTROL!$C$15, $D$11, 100%, $F$11)</f>
        <v>12.3047</v>
      </c>
      <c r="K422" s="4"/>
      <c r="L422" s="9">
        <v>31.095300000000002</v>
      </c>
      <c r="M422" s="9">
        <v>12.063700000000001</v>
      </c>
      <c r="N422" s="9">
        <v>4.9444999999999997</v>
      </c>
      <c r="O422" s="9">
        <v>0.37409999999999999</v>
      </c>
      <c r="P422" s="9">
        <v>1.2183999999999999</v>
      </c>
      <c r="Q422" s="9">
        <v>20.201499999999999</v>
      </c>
      <c r="R422" s="9"/>
      <c r="S422" s="11"/>
    </row>
    <row r="423" spans="1:19" ht="15.75">
      <c r="A423" s="13">
        <v>54392</v>
      </c>
      <c r="B423" s="8">
        <f>13.8505 * CHOOSE(CONTROL!$C$15, $D$11, 100%, $F$11)</f>
        <v>13.8505</v>
      </c>
      <c r="C423" s="8">
        <f>13.8557 * CHOOSE(CONTROL!$C$15, $D$11, 100%, $F$11)</f>
        <v>13.855700000000001</v>
      </c>
      <c r="D423" s="8">
        <f>13.8419 * CHOOSE( CONTROL!$C$15, $D$11, 100%, $F$11)</f>
        <v>13.841900000000001</v>
      </c>
      <c r="E423" s="12">
        <f>13.8464 * CHOOSE( CONTROL!$C$15, $D$11, 100%, $F$11)</f>
        <v>13.846399999999999</v>
      </c>
      <c r="F423" s="4">
        <f>14.501 * CHOOSE(CONTROL!$C$15, $D$11, 100%, $F$11)</f>
        <v>14.500999999999999</v>
      </c>
      <c r="G423" s="8">
        <f>13.5229 * CHOOSE( CONTROL!$C$15, $D$11, 100%, $F$11)</f>
        <v>13.5229</v>
      </c>
      <c r="H423" s="4">
        <f>14.3979 * CHOOSE(CONTROL!$C$15, $D$11, 100%, $F$11)</f>
        <v>14.3979</v>
      </c>
      <c r="I423" s="8">
        <f>13.4359 * CHOOSE(CONTROL!$C$15, $D$11, 100%, $F$11)</f>
        <v>13.4359</v>
      </c>
      <c r="J423" s="4">
        <f>13.2707 * CHOOSE(CONTROL!$C$15, $D$11, 100%, $F$11)</f>
        <v>13.2707</v>
      </c>
      <c r="K423" s="4"/>
      <c r="L423" s="9">
        <v>28.360600000000002</v>
      </c>
      <c r="M423" s="9">
        <v>11.6745</v>
      </c>
      <c r="N423" s="9">
        <v>4.7850000000000001</v>
      </c>
      <c r="O423" s="9">
        <v>0.36199999999999999</v>
      </c>
      <c r="P423" s="9">
        <v>1.2509999999999999</v>
      </c>
      <c r="Q423" s="9">
        <v>19.549800000000001</v>
      </c>
      <c r="R423" s="9"/>
      <c r="S423" s="11"/>
    </row>
    <row r="424" spans="1:19" ht="15.75">
      <c r="A424" s="13">
        <v>54423</v>
      </c>
      <c r="B424" s="8">
        <f>13.8254 * CHOOSE(CONTROL!$C$15, $D$11, 100%, $F$11)</f>
        <v>13.8254</v>
      </c>
      <c r="C424" s="8">
        <f>13.8305 * CHOOSE(CONTROL!$C$15, $D$11, 100%, $F$11)</f>
        <v>13.830500000000001</v>
      </c>
      <c r="D424" s="8">
        <f>13.8183 * CHOOSE( CONTROL!$C$15, $D$11, 100%, $F$11)</f>
        <v>13.818300000000001</v>
      </c>
      <c r="E424" s="12">
        <f>13.8222 * CHOOSE( CONTROL!$C$15, $D$11, 100%, $F$11)</f>
        <v>13.8222</v>
      </c>
      <c r="F424" s="4">
        <f>14.4758 * CHOOSE(CONTROL!$C$15, $D$11, 100%, $F$11)</f>
        <v>14.4758</v>
      </c>
      <c r="G424" s="8">
        <f>13.4994 * CHOOSE( CONTROL!$C$15, $D$11, 100%, $F$11)</f>
        <v>13.4994</v>
      </c>
      <c r="H424" s="4">
        <f>14.3734 * CHOOSE(CONTROL!$C$15, $D$11, 100%, $F$11)</f>
        <v>14.3734</v>
      </c>
      <c r="I424" s="8">
        <f>13.4165 * CHOOSE(CONTROL!$C$15, $D$11, 100%, $F$11)</f>
        <v>13.416499999999999</v>
      </c>
      <c r="J424" s="4">
        <f>13.2465 * CHOOSE(CONTROL!$C$15, $D$11, 100%, $F$11)</f>
        <v>13.246499999999999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20.201499999999999</v>
      </c>
      <c r="R424" s="9"/>
      <c r="S424" s="11"/>
    </row>
    <row r="425" spans="1:19" ht="15.75">
      <c r="A425" s="13">
        <v>54454</v>
      </c>
      <c r="B425" s="8">
        <f>14.3527 * CHOOSE(CONTROL!$C$15, $D$11, 100%, $F$11)</f>
        <v>14.3527</v>
      </c>
      <c r="C425" s="8">
        <f>14.3579 * CHOOSE(CONTROL!$C$15, $D$11, 100%, $F$11)</f>
        <v>14.357900000000001</v>
      </c>
      <c r="D425" s="8">
        <f>14.3403 * CHOOSE( CONTROL!$C$15, $D$11, 100%, $F$11)</f>
        <v>14.340299999999999</v>
      </c>
      <c r="E425" s="12">
        <f>14.3462 * CHOOSE( CONTROL!$C$15, $D$11, 100%, $F$11)</f>
        <v>14.3462</v>
      </c>
      <c r="F425" s="4">
        <f>15.0031 * CHOOSE(CONTROL!$C$15, $D$11, 100%, $F$11)</f>
        <v>15.0031</v>
      </c>
      <c r="G425" s="8">
        <f>14.0044 * CHOOSE( CONTROL!$C$15, $D$11, 100%, $F$11)</f>
        <v>14.0044</v>
      </c>
      <c r="H425" s="4">
        <f>14.8884 * CHOOSE(CONTROL!$C$15, $D$11, 100%, $F$11)</f>
        <v>14.888400000000001</v>
      </c>
      <c r="I425" s="8">
        <f>13.8829 * CHOOSE(CONTROL!$C$15, $D$11, 100%, $F$11)</f>
        <v>13.882899999999999</v>
      </c>
      <c r="J425" s="4">
        <f>13.7528 * CHOOSE(CONTROL!$C$15, $D$11, 100%, $F$11)</f>
        <v>13.752800000000001</v>
      </c>
      <c r="K425" s="4"/>
      <c r="L425" s="9">
        <v>29.306000000000001</v>
      </c>
      <c r="M425" s="9">
        <v>12.063700000000001</v>
      </c>
      <c r="N425" s="9">
        <v>4.9444999999999997</v>
      </c>
      <c r="O425" s="9">
        <v>0.37409999999999999</v>
      </c>
      <c r="P425" s="9">
        <v>1.2927</v>
      </c>
      <c r="Q425" s="9">
        <v>20.136399999999998</v>
      </c>
      <c r="R425" s="9"/>
      <c r="S425" s="11"/>
    </row>
    <row r="426" spans="1:19" ht="15.75">
      <c r="A426" s="13">
        <v>54482</v>
      </c>
      <c r="B426" s="8">
        <f>13.4266 * CHOOSE(CONTROL!$C$15, $D$11, 100%, $F$11)</f>
        <v>13.426600000000001</v>
      </c>
      <c r="C426" s="8">
        <f>13.4318 * CHOOSE(CONTROL!$C$15, $D$11, 100%, $F$11)</f>
        <v>13.431800000000001</v>
      </c>
      <c r="D426" s="8">
        <f>13.4142 * CHOOSE( CONTROL!$C$15, $D$11, 100%, $F$11)</f>
        <v>13.414199999999999</v>
      </c>
      <c r="E426" s="12">
        <f>13.4201 * CHOOSE( CONTROL!$C$15, $D$11, 100%, $F$11)</f>
        <v>13.4201</v>
      </c>
      <c r="F426" s="4">
        <f>14.0771 * CHOOSE(CONTROL!$C$15, $D$11, 100%, $F$11)</f>
        <v>14.0771</v>
      </c>
      <c r="G426" s="8">
        <f>13.0999 * CHOOSE( CONTROL!$C$15, $D$11, 100%, $F$11)</f>
        <v>13.0999</v>
      </c>
      <c r="H426" s="4">
        <f>13.9839 * CHOOSE(CONTROL!$C$15, $D$11, 100%, $F$11)</f>
        <v>13.9839</v>
      </c>
      <c r="I426" s="8">
        <f>12.9932 * CHOOSE(CONTROL!$C$15, $D$11, 100%, $F$11)</f>
        <v>12.9932</v>
      </c>
      <c r="J426" s="4">
        <f>12.8637 * CHOOSE(CONTROL!$C$15, $D$11, 100%, $F$11)</f>
        <v>12.8637</v>
      </c>
      <c r="K426" s="4"/>
      <c r="L426" s="9">
        <v>26.469899999999999</v>
      </c>
      <c r="M426" s="9">
        <v>10.8962</v>
      </c>
      <c r="N426" s="9">
        <v>4.4660000000000002</v>
      </c>
      <c r="O426" s="9">
        <v>0.33789999999999998</v>
      </c>
      <c r="P426" s="9">
        <v>1.1676</v>
      </c>
      <c r="Q426" s="9">
        <v>18.1877</v>
      </c>
      <c r="R426" s="9"/>
      <c r="S426" s="11"/>
    </row>
    <row r="427" spans="1:19" ht="15.75">
      <c r="A427" s="13">
        <v>54513</v>
      </c>
      <c r="B427" s="8">
        <f>13.1414 * CHOOSE(CONTROL!$C$15, $D$11, 100%, $F$11)</f>
        <v>13.141400000000001</v>
      </c>
      <c r="C427" s="8">
        <f>13.1466 * CHOOSE(CONTROL!$C$15, $D$11, 100%, $F$11)</f>
        <v>13.146599999999999</v>
      </c>
      <c r="D427" s="8">
        <f>13.1286 * CHOOSE( CONTROL!$C$15, $D$11, 100%, $F$11)</f>
        <v>13.1286</v>
      </c>
      <c r="E427" s="12">
        <f>13.1346 * CHOOSE( CONTROL!$C$15, $D$11, 100%, $F$11)</f>
        <v>13.134600000000001</v>
      </c>
      <c r="F427" s="4">
        <f>13.7919 * CHOOSE(CONTROL!$C$15, $D$11, 100%, $F$11)</f>
        <v>13.7919</v>
      </c>
      <c r="G427" s="8">
        <f>12.8211 * CHOOSE( CONTROL!$C$15, $D$11, 100%, $F$11)</f>
        <v>12.821099999999999</v>
      </c>
      <c r="H427" s="4">
        <f>13.7053 * CHOOSE(CONTROL!$C$15, $D$11, 100%, $F$11)</f>
        <v>13.705299999999999</v>
      </c>
      <c r="I427" s="8">
        <f>12.718 * CHOOSE(CONTROL!$C$15, $D$11, 100%, $F$11)</f>
        <v>12.718</v>
      </c>
      <c r="J427" s="4">
        <f>12.5899 * CHOOSE(CONTROL!$C$15, $D$11, 100%, $F$11)</f>
        <v>12.5899</v>
      </c>
      <c r="K427" s="4"/>
      <c r="L427" s="9">
        <v>29.306000000000001</v>
      </c>
      <c r="M427" s="9">
        <v>12.063700000000001</v>
      </c>
      <c r="N427" s="9">
        <v>4.9444999999999997</v>
      </c>
      <c r="O427" s="9">
        <v>0.37409999999999999</v>
      </c>
      <c r="P427" s="9">
        <v>1.2927</v>
      </c>
      <c r="Q427" s="9">
        <v>20.136399999999998</v>
      </c>
      <c r="R427" s="9"/>
      <c r="S427" s="11"/>
    </row>
    <row r="428" spans="1:19" ht="15.75">
      <c r="A428" s="13">
        <v>54543</v>
      </c>
      <c r="B428" s="8">
        <f>13.3415 * CHOOSE(CONTROL!$C$15, $D$11, 100%, $F$11)</f>
        <v>13.3415</v>
      </c>
      <c r="C428" s="8">
        <f>13.3461 * CHOOSE(CONTROL!$C$15, $D$11, 100%, $F$11)</f>
        <v>13.3461</v>
      </c>
      <c r="D428" s="8">
        <f>13.3772 * CHOOSE( CONTROL!$C$15, $D$11, 100%, $F$11)</f>
        <v>13.3772</v>
      </c>
      <c r="E428" s="12">
        <f>13.3664 * CHOOSE( CONTROL!$C$15, $D$11, 100%, $F$11)</f>
        <v>13.366400000000001</v>
      </c>
      <c r="F428" s="4">
        <f>14.0552 * CHOOSE(CONTROL!$C$15, $D$11, 100%, $F$11)</f>
        <v>14.055199999999999</v>
      </c>
      <c r="G428" s="8">
        <f>13.0166 * CHOOSE( CONTROL!$C$15, $D$11, 100%, $F$11)</f>
        <v>13.0166</v>
      </c>
      <c r="H428" s="4">
        <f>13.9626 * CHOOSE(CONTROL!$C$15, $D$11, 100%, $F$11)</f>
        <v>13.9626</v>
      </c>
      <c r="I428" s="8">
        <f>12.9 * CHOOSE(CONTROL!$C$15, $D$11, 100%, $F$11)</f>
        <v>12.9</v>
      </c>
      <c r="J428" s="4">
        <f>12.7812 * CHOOSE(CONTROL!$C$15, $D$11, 100%, $F$11)</f>
        <v>12.7812</v>
      </c>
      <c r="K428" s="4"/>
      <c r="L428" s="9">
        <v>30.092199999999998</v>
      </c>
      <c r="M428" s="9">
        <v>11.6745</v>
      </c>
      <c r="N428" s="9">
        <v>4.7850000000000001</v>
      </c>
      <c r="O428" s="9">
        <v>0.36199999999999999</v>
      </c>
      <c r="P428" s="9">
        <v>1.1791</v>
      </c>
      <c r="Q428" s="9">
        <v>19.486799999999999</v>
      </c>
      <c r="R428" s="9"/>
      <c r="S428" s="11"/>
    </row>
    <row r="429" spans="1:19" ht="15.75">
      <c r="A429" s="13">
        <v>54574</v>
      </c>
      <c r="B429" s="8">
        <f>CHOOSE( CONTROL!$C$32, 13.7031, 13.6976) * CHOOSE(CONTROL!$C$15, $D$11, 100%, $F$11)</f>
        <v>13.703099999999999</v>
      </c>
      <c r="C429" s="8">
        <f>CHOOSE( CONTROL!$C$32, 13.7112, 13.7056) * CHOOSE(CONTROL!$C$15, $D$11, 100%, $F$11)</f>
        <v>13.7112</v>
      </c>
      <c r="D429" s="8">
        <f>CHOOSE( CONTROL!$C$32, 13.7372, 13.7316) * CHOOSE( CONTROL!$C$15, $D$11, 100%, $F$11)</f>
        <v>13.7372</v>
      </c>
      <c r="E429" s="12">
        <f>CHOOSE( CONTROL!$C$32, 13.7265, 13.721) * CHOOSE( CONTROL!$C$15, $D$11, 100%, $F$11)</f>
        <v>13.7265</v>
      </c>
      <c r="F429" s="4">
        <f>CHOOSE( CONTROL!$C$32, 14.4155, 14.41) * CHOOSE(CONTROL!$C$15, $D$11, 100%, $F$11)</f>
        <v>14.4155</v>
      </c>
      <c r="G429" s="8">
        <f>CHOOSE( CONTROL!$C$32, 13.3696, 13.3642) * CHOOSE( CONTROL!$C$15, $D$11, 100%, $F$11)</f>
        <v>13.3696</v>
      </c>
      <c r="H429" s="4">
        <f>CHOOSE( CONTROL!$C$32, 14.3145, 14.309) * CHOOSE(CONTROL!$C$15, $D$11, 100%, $F$11)</f>
        <v>14.314500000000001</v>
      </c>
      <c r="I429" s="8">
        <f>CHOOSE( CONTROL!$C$32, 13.246, 13.2406) * CHOOSE(CONTROL!$C$15, $D$11, 100%, $F$11)</f>
        <v>13.246</v>
      </c>
      <c r="J429" s="4">
        <f>CHOOSE( CONTROL!$C$32, 13.1271, 13.1218) * CHOOSE(CONTROL!$C$15, $D$11, 100%, $F$11)</f>
        <v>13.1271</v>
      </c>
      <c r="K429" s="4"/>
      <c r="L429" s="9">
        <v>30.7165</v>
      </c>
      <c r="M429" s="9">
        <v>12.063700000000001</v>
      </c>
      <c r="N429" s="9">
        <v>4.9444999999999997</v>
      </c>
      <c r="O429" s="9">
        <v>0.37409999999999999</v>
      </c>
      <c r="P429" s="9">
        <v>1.2183999999999999</v>
      </c>
      <c r="Q429" s="9">
        <v>20.136399999999998</v>
      </c>
      <c r="R429" s="9"/>
      <c r="S429" s="11"/>
    </row>
    <row r="430" spans="1:19" ht="15.75">
      <c r="A430" s="13">
        <v>54604</v>
      </c>
      <c r="B430" s="8">
        <f>CHOOSE( CONTROL!$C$32, 13.4834, 13.4778) * CHOOSE(CONTROL!$C$15, $D$11, 100%, $F$11)</f>
        <v>13.4834</v>
      </c>
      <c r="C430" s="8">
        <f>CHOOSE( CONTROL!$C$32, 13.4915, 13.4859) * CHOOSE(CONTROL!$C$15, $D$11, 100%, $F$11)</f>
        <v>13.4915</v>
      </c>
      <c r="D430" s="8">
        <f>CHOOSE( CONTROL!$C$32, 13.5176, 13.512) * CHOOSE( CONTROL!$C$15, $D$11, 100%, $F$11)</f>
        <v>13.5176</v>
      </c>
      <c r="E430" s="12">
        <f>CHOOSE( CONTROL!$C$32, 13.5069, 13.5013) * CHOOSE( CONTROL!$C$15, $D$11, 100%, $F$11)</f>
        <v>13.5069</v>
      </c>
      <c r="F430" s="4">
        <f>CHOOSE( CONTROL!$C$32, 14.1958, 14.1902) * CHOOSE(CONTROL!$C$15, $D$11, 100%, $F$11)</f>
        <v>14.1958</v>
      </c>
      <c r="G430" s="8">
        <f>CHOOSE( CONTROL!$C$32, 13.1552, 13.1498) * CHOOSE( CONTROL!$C$15, $D$11, 100%, $F$11)</f>
        <v>13.155200000000001</v>
      </c>
      <c r="H430" s="4">
        <f>CHOOSE( CONTROL!$C$32, 14.0998, 14.0944) * CHOOSE(CONTROL!$C$15, $D$11, 100%, $F$11)</f>
        <v>14.0998</v>
      </c>
      <c r="I430" s="8">
        <f>CHOOSE( CONTROL!$C$32, 13.0357, 13.0304) * CHOOSE(CONTROL!$C$15, $D$11, 100%, $F$11)</f>
        <v>13.0357</v>
      </c>
      <c r="J430" s="4">
        <f>CHOOSE( CONTROL!$C$32, 12.9162, 12.9108) * CHOOSE(CONTROL!$C$15, $D$11, 100%, $F$11)</f>
        <v>12.9162</v>
      </c>
      <c r="K430" s="4"/>
      <c r="L430" s="9">
        <v>29.7257</v>
      </c>
      <c r="M430" s="9">
        <v>11.6745</v>
      </c>
      <c r="N430" s="9">
        <v>4.7850000000000001</v>
      </c>
      <c r="O430" s="9">
        <v>0.36199999999999999</v>
      </c>
      <c r="P430" s="9">
        <v>1.1791</v>
      </c>
      <c r="Q430" s="9">
        <v>19.486799999999999</v>
      </c>
      <c r="R430" s="9"/>
      <c r="S430" s="11"/>
    </row>
    <row r="431" spans="1:19" ht="15.75">
      <c r="A431" s="13">
        <v>54635</v>
      </c>
      <c r="B431" s="8">
        <f>CHOOSE( CONTROL!$C$32, 14.062, 14.0565) * CHOOSE(CONTROL!$C$15, $D$11, 100%, $F$11)</f>
        <v>14.061999999999999</v>
      </c>
      <c r="C431" s="8">
        <f>CHOOSE( CONTROL!$C$32, 14.0701, 14.0646) * CHOOSE(CONTROL!$C$15, $D$11, 100%, $F$11)</f>
        <v>14.0701</v>
      </c>
      <c r="D431" s="8">
        <f>CHOOSE( CONTROL!$C$32, 14.0965, 14.0909) * CHOOSE( CONTROL!$C$15, $D$11, 100%, $F$11)</f>
        <v>14.096500000000001</v>
      </c>
      <c r="E431" s="12">
        <f>CHOOSE( CONTROL!$C$32, 14.0857, 14.0801) * CHOOSE( CONTROL!$C$15, $D$11, 100%, $F$11)</f>
        <v>14.085699999999999</v>
      </c>
      <c r="F431" s="4">
        <f>CHOOSE( CONTROL!$C$32, 14.7744, 14.7689) * CHOOSE(CONTROL!$C$15, $D$11, 100%, $F$11)</f>
        <v>14.7744</v>
      </c>
      <c r="G431" s="8">
        <f>CHOOSE( CONTROL!$C$32, 13.7207, 13.7153) * CHOOSE( CONTROL!$C$15, $D$11, 100%, $F$11)</f>
        <v>13.720700000000001</v>
      </c>
      <c r="H431" s="4">
        <f>CHOOSE( CONTROL!$C$32, 14.665, 14.6596) * CHOOSE(CONTROL!$C$15, $D$11, 100%, $F$11)</f>
        <v>14.664999999999999</v>
      </c>
      <c r="I431" s="8">
        <f>CHOOSE( CONTROL!$C$32, 13.5925, 13.5872) * CHOOSE(CONTROL!$C$15, $D$11, 100%, $F$11)</f>
        <v>13.592499999999999</v>
      </c>
      <c r="J431" s="4">
        <f>CHOOSE( CONTROL!$C$32, 13.4717, 13.4664) * CHOOSE(CONTROL!$C$15, $D$11, 100%, $F$11)</f>
        <v>13.4717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1.2183999999999999</v>
      </c>
      <c r="Q431" s="9">
        <v>20.136399999999998</v>
      </c>
      <c r="R431" s="9"/>
      <c r="S431" s="11"/>
    </row>
    <row r="432" spans="1:19" ht="15.75">
      <c r="A432" s="13">
        <v>54666</v>
      </c>
      <c r="B432" s="8">
        <f>CHOOSE( CONTROL!$C$32, 12.9793, 12.9738) * CHOOSE(CONTROL!$C$15, $D$11, 100%, $F$11)</f>
        <v>12.9793</v>
      </c>
      <c r="C432" s="8">
        <f>CHOOSE( CONTROL!$C$32, 12.9874, 12.9818) * CHOOSE(CONTROL!$C$15, $D$11, 100%, $F$11)</f>
        <v>12.987399999999999</v>
      </c>
      <c r="D432" s="8">
        <f>CHOOSE( CONTROL!$C$32, 13.0138, 13.0082) * CHOOSE( CONTROL!$C$15, $D$11, 100%, $F$11)</f>
        <v>13.0138</v>
      </c>
      <c r="E432" s="12">
        <f>CHOOSE( CONTROL!$C$32, 13.003, 12.9974) * CHOOSE( CONTROL!$C$15, $D$11, 100%, $F$11)</f>
        <v>13.003</v>
      </c>
      <c r="F432" s="4">
        <f>CHOOSE( CONTROL!$C$32, 13.6917, 13.6862) * CHOOSE(CONTROL!$C$15, $D$11, 100%, $F$11)</f>
        <v>13.691700000000001</v>
      </c>
      <c r="G432" s="8">
        <f>CHOOSE( CONTROL!$C$32, 12.6633, 12.6579) * CHOOSE( CONTROL!$C$15, $D$11, 100%, $F$11)</f>
        <v>12.6633</v>
      </c>
      <c r="H432" s="4">
        <f>CHOOSE( CONTROL!$C$32, 13.6075, 13.6021) * CHOOSE(CONTROL!$C$15, $D$11, 100%, $F$11)</f>
        <v>13.6075</v>
      </c>
      <c r="I432" s="8">
        <f>CHOOSE( CONTROL!$C$32, 12.5528, 12.5474) * CHOOSE(CONTROL!$C$15, $D$11, 100%, $F$11)</f>
        <v>12.5528</v>
      </c>
      <c r="J432" s="4">
        <f>CHOOSE( CONTROL!$C$32, 12.4322, 12.4269) * CHOOSE(CONTROL!$C$15, $D$11, 100%, $F$11)</f>
        <v>12.4322</v>
      </c>
      <c r="K432" s="4"/>
      <c r="L432" s="9">
        <v>30.7165</v>
      </c>
      <c r="M432" s="9">
        <v>12.063700000000001</v>
      </c>
      <c r="N432" s="9">
        <v>4.9444999999999997</v>
      </c>
      <c r="O432" s="9">
        <v>0.37409999999999999</v>
      </c>
      <c r="P432" s="9">
        <v>1.2183999999999999</v>
      </c>
      <c r="Q432" s="9">
        <v>20.136399999999998</v>
      </c>
      <c r="R432" s="9"/>
      <c r="S432" s="11"/>
    </row>
    <row r="433" spans="1:19" ht="15.75">
      <c r="A433" s="13">
        <v>54696</v>
      </c>
      <c r="B433" s="8">
        <f>CHOOSE( CONTROL!$C$32, 12.7082, 12.7026) * CHOOSE(CONTROL!$C$15, $D$11, 100%, $F$11)</f>
        <v>12.7082</v>
      </c>
      <c r="C433" s="8">
        <f>CHOOSE( CONTROL!$C$32, 12.7163, 12.7107) * CHOOSE(CONTROL!$C$15, $D$11, 100%, $F$11)</f>
        <v>12.7163</v>
      </c>
      <c r="D433" s="8">
        <f>CHOOSE( CONTROL!$C$32, 12.7426, 12.7371) * CHOOSE( CONTROL!$C$15, $D$11, 100%, $F$11)</f>
        <v>12.742599999999999</v>
      </c>
      <c r="E433" s="12">
        <f>CHOOSE( CONTROL!$C$32, 12.7318, 12.7263) * CHOOSE( CONTROL!$C$15, $D$11, 100%, $F$11)</f>
        <v>12.7318</v>
      </c>
      <c r="F433" s="4">
        <f>CHOOSE( CONTROL!$C$32, 13.4206, 13.415) * CHOOSE(CONTROL!$C$15, $D$11, 100%, $F$11)</f>
        <v>13.4206</v>
      </c>
      <c r="G433" s="8">
        <f>CHOOSE( CONTROL!$C$32, 12.3984, 12.393) * CHOOSE( CONTROL!$C$15, $D$11, 100%, $F$11)</f>
        <v>12.398400000000001</v>
      </c>
      <c r="H433" s="4">
        <f>CHOOSE( CONTROL!$C$32, 13.3427, 13.3373) * CHOOSE(CONTROL!$C$15, $D$11, 100%, $F$11)</f>
        <v>13.342700000000001</v>
      </c>
      <c r="I433" s="8">
        <f>CHOOSE( CONTROL!$C$32, 12.2921, 12.2867) * CHOOSE(CONTROL!$C$15, $D$11, 100%, $F$11)</f>
        <v>12.2921</v>
      </c>
      <c r="J433" s="4">
        <f>CHOOSE( CONTROL!$C$32, 12.1719, 12.1666) * CHOOSE(CONTROL!$C$15, $D$11, 100%, $F$11)</f>
        <v>12.171900000000001</v>
      </c>
      <c r="K433" s="4"/>
      <c r="L433" s="9">
        <v>29.7257</v>
      </c>
      <c r="M433" s="9">
        <v>11.6745</v>
      </c>
      <c r="N433" s="9">
        <v>4.7850000000000001</v>
      </c>
      <c r="O433" s="9">
        <v>0.36199999999999999</v>
      </c>
      <c r="P433" s="9">
        <v>1.1791</v>
      </c>
      <c r="Q433" s="9">
        <v>19.486799999999999</v>
      </c>
      <c r="R433" s="9"/>
      <c r="S433" s="11"/>
    </row>
    <row r="434" spans="1:19" ht="15.75">
      <c r="A434" s="13">
        <v>54727</v>
      </c>
      <c r="B434" s="8">
        <f>13.2639 * CHOOSE(CONTROL!$C$15, $D$11, 100%, $F$11)</f>
        <v>13.2639</v>
      </c>
      <c r="C434" s="8">
        <f>13.2693 * CHOOSE(CONTROL!$C$15, $D$11, 100%, $F$11)</f>
        <v>13.269299999999999</v>
      </c>
      <c r="D434" s="8">
        <f>13.3005 * CHOOSE( CONTROL!$C$15, $D$11, 100%, $F$11)</f>
        <v>13.3005</v>
      </c>
      <c r="E434" s="12">
        <f>13.2896 * CHOOSE( CONTROL!$C$15, $D$11, 100%, $F$11)</f>
        <v>13.2896</v>
      </c>
      <c r="F434" s="4">
        <f>13.978 * CHOOSE(CONTROL!$C$15, $D$11, 100%, $F$11)</f>
        <v>13.978</v>
      </c>
      <c r="G434" s="8">
        <f>12.9419 * CHOOSE( CONTROL!$C$15, $D$11, 100%, $F$11)</f>
        <v>12.9419</v>
      </c>
      <c r="H434" s="4">
        <f>13.8871 * CHOOSE(CONTROL!$C$15, $D$11, 100%, $F$11)</f>
        <v>13.8871</v>
      </c>
      <c r="I434" s="8">
        <f>12.8284 * CHOOSE(CONTROL!$C$15, $D$11, 100%, $F$11)</f>
        <v>12.8284</v>
      </c>
      <c r="J434" s="4">
        <f>12.7071 * CHOOSE(CONTROL!$C$15, $D$11, 100%, $F$11)</f>
        <v>12.707100000000001</v>
      </c>
      <c r="K434" s="4"/>
      <c r="L434" s="9">
        <v>31.095300000000002</v>
      </c>
      <c r="M434" s="9">
        <v>12.063700000000001</v>
      </c>
      <c r="N434" s="9">
        <v>4.9444999999999997</v>
      </c>
      <c r="O434" s="9">
        <v>0.37409999999999999</v>
      </c>
      <c r="P434" s="9">
        <v>1.2183999999999999</v>
      </c>
      <c r="Q434" s="9">
        <v>20.136399999999998</v>
      </c>
      <c r="R434" s="9"/>
      <c r="S434" s="11"/>
    </row>
    <row r="435" spans="1:19" ht="15.75">
      <c r="A435" s="13">
        <v>54757</v>
      </c>
      <c r="B435" s="8">
        <f>14.3025 * CHOOSE(CONTROL!$C$15, $D$11, 100%, $F$11)</f>
        <v>14.3025</v>
      </c>
      <c r="C435" s="8">
        <f>14.3077 * CHOOSE(CONTROL!$C$15, $D$11, 100%, $F$11)</f>
        <v>14.307700000000001</v>
      </c>
      <c r="D435" s="8">
        <f>14.2939 * CHOOSE( CONTROL!$C$15, $D$11, 100%, $F$11)</f>
        <v>14.293900000000001</v>
      </c>
      <c r="E435" s="12">
        <f>14.2984 * CHOOSE( CONTROL!$C$15, $D$11, 100%, $F$11)</f>
        <v>14.298400000000001</v>
      </c>
      <c r="F435" s="4">
        <f>14.953 * CHOOSE(CONTROL!$C$15, $D$11, 100%, $F$11)</f>
        <v>14.952999999999999</v>
      </c>
      <c r="G435" s="8">
        <f>13.9644 * CHOOSE( CONTROL!$C$15, $D$11, 100%, $F$11)</f>
        <v>13.964399999999999</v>
      </c>
      <c r="H435" s="4">
        <f>14.8394 * CHOOSE(CONTROL!$C$15, $D$11, 100%, $F$11)</f>
        <v>14.839399999999999</v>
      </c>
      <c r="I435" s="8">
        <f>13.8701 * CHOOSE(CONTROL!$C$15, $D$11, 100%, $F$11)</f>
        <v>13.870100000000001</v>
      </c>
      <c r="J435" s="4">
        <f>13.7047 * CHOOSE(CONTROL!$C$15, $D$11, 100%, $F$11)</f>
        <v>13.704700000000001</v>
      </c>
      <c r="K435" s="4"/>
      <c r="L435" s="9">
        <v>28.360600000000002</v>
      </c>
      <c r="M435" s="9">
        <v>11.6745</v>
      </c>
      <c r="N435" s="9">
        <v>4.7850000000000001</v>
      </c>
      <c r="O435" s="9">
        <v>0.36199999999999999</v>
      </c>
      <c r="P435" s="9">
        <v>1.2509999999999999</v>
      </c>
      <c r="Q435" s="9">
        <v>19.486799999999999</v>
      </c>
      <c r="R435" s="9"/>
      <c r="S435" s="11"/>
    </row>
    <row r="436" spans="1:19" ht="15.75">
      <c r="A436" s="13">
        <v>54788</v>
      </c>
      <c r="B436" s="8">
        <f>14.2766 * CHOOSE(CONTROL!$C$15, $D$11, 100%, $F$11)</f>
        <v>14.2766</v>
      </c>
      <c r="C436" s="8">
        <f>14.2818 * CHOOSE(CONTROL!$C$15, $D$11, 100%, $F$11)</f>
        <v>14.2818</v>
      </c>
      <c r="D436" s="8">
        <f>14.2695 * CHOOSE( CONTROL!$C$15, $D$11, 100%, $F$11)</f>
        <v>14.269500000000001</v>
      </c>
      <c r="E436" s="12">
        <f>14.2734 * CHOOSE( CONTROL!$C$15, $D$11, 100%, $F$11)</f>
        <v>14.273400000000001</v>
      </c>
      <c r="F436" s="4">
        <f>14.927 * CHOOSE(CONTROL!$C$15, $D$11, 100%, $F$11)</f>
        <v>14.927</v>
      </c>
      <c r="G436" s="8">
        <f>13.9401 * CHOOSE( CONTROL!$C$15, $D$11, 100%, $F$11)</f>
        <v>13.940099999999999</v>
      </c>
      <c r="H436" s="4">
        <f>14.8141 * CHOOSE(CONTROL!$C$15, $D$11, 100%, $F$11)</f>
        <v>14.8141</v>
      </c>
      <c r="I436" s="8">
        <f>13.8499 * CHOOSE(CONTROL!$C$15, $D$11, 100%, $F$11)</f>
        <v>13.8499</v>
      </c>
      <c r="J436" s="4">
        <f>13.6798 * CHOOSE(CONTROL!$C$15, $D$11, 100%, $F$11)</f>
        <v>13.6798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20.136399999999998</v>
      </c>
      <c r="R436" s="9"/>
      <c r="S436" s="11"/>
    </row>
    <row r="437" spans="1:19" ht="15.75">
      <c r="A437" s="13">
        <v>54819</v>
      </c>
      <c r="B437" s="8">
        <f>14.8211 * CHOOSE(CONTROL!$C$15, $D$11, 100%, $F$11)</f>
        <v>14.821099999999999</v>
      </c>
      <c r="C437" s="8">
        <f>14.8263 * CHOOSE(CONTROL!$C$15, $D$11, 100%, $F$11)</f>
        <v>14.8263</v>
      </c>
      <c r="D437" s="8">
        <f>14.8088 * CHOOSE( CONTROL!$C$15, $D$11, 100%, $F$11)</f>
        <v>14.8088</v>
      </c>
      <c r="E437" s="12">
        <f>14.8146 * CHOOSE( CONTROL!$C$15, $D$11, 100%, $F$11)</f>
        <v>14.8146</v>
      </c>
      <c r="F437" s="4">
        <f>15.4716 * CHOOSE(CONTROL!$C$15, $D$11, 100%, $F$11)</f>
        <v>15.4716</v>
      </c>
      <c r="G437" s="8">
        <f>14.462 * CHOOSE( CONTROL!$C$15, $D$11, 100%, $F$11)</f>
        <v>14.462</v>
      </c>
      <c r="H437" s="4">
        <f>15.3459 * CHOOSE(CONTROL!$C$15, $D$11, 100%, $F$11)</f>
        <v>15.3459</v>
      </c>
      <c r="I437" s="8">
        <f>14.3329 * CHOOSE(CONTROL!$C$15, $D$11, 100%, $F$11)</f>
        <v>14.3329</v>
      </c>
      <c r="J437" s="4">
        <f>14.2026 * CHOOSE(CONTROL!$C$15, $D$11, 100%, $F$11)</f>
        <v>14.2026</v>
      </c>
      <c r="K437" s="4"/>
      <c r="L437" s="9">
        <v>29.306000000000001</v>
      </c>
      <c r="M437" s="9">
        <v>12.063700000000001</v>
      </c>
      <c r="N437" s="9">
        <v>4.9444999999999997</v>
      </c>
      <c r="O437" s="9">
        <v>0.37409999999999999</v>
      </c>
      <c r="P437" s="9">
        <v>1.2927</v>
      </c>
      <c r="Q437" s="9">
        <v>20.071300000000001</v>
      </c>
      <c r="R437" s="9"/>
      <c r="S437" s="11"/>
    </row>
    <row r="438" spans="1:19" ht="15.75">
      <c r="A438" s="13">
        <v>54847</v>
      </c>
      <c r="B438" s="8">
        <f>13.8648 * CHOOSE(CONTROL!$C$15, $D$11, 100%, $F$11)</f>
        <v>13.864800000000001</v>
      </c>
      <c r="C438" s="8">
        <f>13.87 * CHOOSE(CONTROL!$C$15, $D$11, 100%, $F$11)</f>
        <v>13.87</v>
      </c>
      <c r="D438" s="8">
        <f>13.8524 * CHOOSE( CONTROL!$C$15, $D$11, 100%, $F$11)</f>
        <v>13.852399999999999</v>
      </c>
      <c r="E438" s="12">
        <f>13.8583 * CHOOSE( CONTROL!$C$15, $D$11, 100%, $F$11)</f>
        <v>13.8583</v>
      </c>
      <c r="F438" s="4">
        <f>14.5153 * CHOOSE(CONTROL!$C$15, $D$11, 100%, $F$11)</f>
        <v>14.5153</v>
      </c>
      <c r="G438" s="8">
        <f>13.5279 * CHOOSE( CONTROL!$C$15, $D$11, 100%, $F$11)</f>
        <v>13.527900000000001</v>
      </c>
      <c r="H438" s="4">
        <f>14.4119 * CHOOSE(CONTROL!$C$15, $D$11, 100%, $F$11)</f>
        <v>14.411899999999999</v>
      </c>
      <c r="I438" s="8">
        <f>13.4141 * CHOOSE(CONTROL!$C$15, $D$11, 100%, $F$11)</f>
        <v>13.414099999999999</v>
      </c>
      <c r="J438" s="4">
        <f>13.2844 * CHOOSE(CONTROL!$C$15, $D$11, 100%, $F$11)</f>
        <v>13.2844</v>
      </c>
      <c r="K438" s="4"/>
      <c r="L438" s="9">
        <v>26.469899999999999</v>
      </c>
      <c r="M438" s="9">
        <v>10.8962</v>
      </c>
      <c r="N438" s="9">
        <v>4.4660000000000002</v>
      </c>
      <c r="O438" s="9">
        <v>0.33789999999999998</v>
      </c>
      <c r="P438" s="9">
        <v>1.1676</v>
      </c>
      <c r="Q438" s="9">
        <v>18.128900000000002</v>
      </c>
      <c r="R438" s="9"/>
      <c r="S438" s="11"/>
    </row>
    <row r="439" spans="1:19" ht="15.75">
      <c r="A439" s="13">
        <v>54878</v>
      </c>
      <c r="B439" s="8">
        <f>13.5703 * CHOOSE(CONTROL!$C$15, $D$11, 100%, $F$11)</f>
        <v>13.5703</v>
      </c>
      <c r="C439" s="8">
        <f>13.5754 * CHOOSE(CONTROL!$C$15, $D$11, 100%, $F$11)</f>
        <v>13.5754</v>
      </c>
      <c r="D439" s="8">
        <f>13.5574 * CHOOSE( CONTROL!$C$15, $D$11, 100%, $F$11)</f>
        <v>13.557399999999999</v>
      </c>
      <c r="E439" s="12">
        <f>13.5634 * CHOOSE( CONTROL!$C$15, $D$11, 100%, $F$11)</f>
        <v>13.5634</v>
      </c>
      <c r="F439" s="4">
        <f>14.2207 * CHOOSE(CONTROL!$C$15, $D$11, 100%, $F$11)</f>
        <v>14.220700000000001</v>
      </c>
      <c r="G439" s="8">
        <f>13.2399 * CHOOSE( CONTROL!$C$15, $D$11, 100%, $F$11)</f>
        <v>13.2399</v>
      </c>
      <c r="H439" s="4">
        <f>14.1242 * CHOOSE(CONTROL!$C$15, $D$11, 100%, $F$11)</f>
        <v>14.1242</v>
      </c>
      <c r="I439" s="8">
        <f>13.1299 * CHOOSE(CONTROL!$C$15, $D$11, 100%, $F$11)</f>
        <v>13.129899999999999</v>
      </c>
      <c r="J439" s="4">
        <f>13.0016 * CHOOSE(CONTROL!$C$15, $D$11, 100%, $F$11)</f>
        <v>13.0016</v>
      </c>
      <c r="K439" s="4"/>
      <c r="L439" s="9">
        <v>29.306000000000001</v>
      </c>
      <c r="M439" s="9">
        <v>12.063700000000001</v>
      </c>
      <c r="N439" s="9">
        <v>4.9444999999999997</v>
      </c>
      <c r="O439" s="9">
        <v>0.37409999999999999</v>
      </c>
      <c r="P439" s="9">
        <v>1.2927</v>
      </c>
      <c r="Q439" s="9">
        <v>20.071300000000001</v>
      </c>
      <c r="R439" s="9"/>
      <c r="S439" s="11"/>
    </row>
    <row r="440" spans="1:19" ht="15.75">
      <c r="A440" s="13">
        <v>54908</v>
      </c>
      <c r="B440" s="8">
        <f>13.7768 * CHOOSE(CONTROL!$C$15, $D$11, 100%, $F$11)</f>
        <v>13.7768</v>
      </c>
      <c r="C440" s="8">
        <f>13.7815 * CHOOSE(CONTROL!$C$15, $D$11, 100%, $F$11)</f>
        <v>13.781499999999999</v>
      </c>
      <c r="D440" s="8">
        <f>13.8126 * CHOOSE( CONTROL!$C$15, $D$11, 100%, $F$11)</f>
        <v>13.8126</v>
      </c>
      <c r="E440" s="12">
        <f>13.8018 * CHOOSE( CONTROL!$C$15, $D$11, 100%, $F$11)</f>
        <v>13.8018</v>
      </c>
      <c r="F440" s="4">
        <f>14.4906 * CHOOSE(CONTROL!$C$15, $D$11, 100%, $F$11)</f>
        <v>14.490600000000001</v>
      </c>
      <c r="G440" s="8">
        <f>13.4418 * CHOOSE( CONTROL!$C$15, $D$11, 100%, $F$11)</f>
        <v>13.441800000000001</v>
      </c>
      <c r="H440" s="4">
        <f>14.3878 * CHOOSE(CONTROL!$C$15, $D$11, 100%, $F$11)</f>
        <v>14.3878</v>
      </c>
      <c r="I440" s="8">
        <f>13.3182 * CHOOSE(CONTROL!$C$15, $D$11, 100%, $F$11)</f>
        <v>13.318199999999999</v>
      </c>
      <c r="J440" s="4">
        <f>13.1992 * CHOOSE(CONTROL!$C$15, $D$11, 100%, $F$11)</f>
        <v>13.199199999999999</v>
      </c>
      <c r="K440" s="4"/>
      <c r="L440" s="9">
        <v>30.092199999999998</v>
      </c>
      <c r="M440" s="9">
        <v>11.6745</v>
      </c>
      <c r="N440" s="9">
        <v>4.7850000000000001</v>
      </c>
      <c r="O440" s="9">
        <v>0.36199999999999999</v>
      </c>
      <c r="P440" s="9">
        <v>1.1791</v>
      </c>
      <c r="Q440" s="9">
        <v>19.4238</v>
      </c>
      <c r="R440" s="9"/>
      <c r="S440" s="11"/>
    </row>
    <row r="441" spans="1:19" ht="15.75">
      <c r="A441" s="13">
        <v>54939</v>
      </c>
      <c r="B441" s="8">
        <f>CHOOSE( CONTROL!$C$32, 14.1501, 14.1445) * CHOOSE(CONTROL!$C$15, $D$11, 100%, $F$11)</f>
        <v>14.1501</v>
      </c>
      <c r="C441" s="8">
        <f>CHOOSE( CONTROL!$C$32, 14.1582, 14.1526) * CHOOSE(CONTROL!$C$15, $D$11, 100%, $F$11)</f>
        <v>14.158200000000001</v>
      </c>
      <c r="D441" s="8">
        <f>CHOOSE( CONTROL!$C$32, 14.1841, 14.1786) * CHOOSE( CONTROL!$C$15, $D$11, 100%, $F$11)</f>
        <v>14.184100000000001</v>
      </c>
      <c r="E441" s="12">
        <f>CHOOSE( CONTROL!$C$32, 14.1735, 14.1679) * CHOOSE( CONTROL!$C$15, $D$11, 100%, $F$11)</f>
        <v>14.173500000000001</v>
      </c>
      <c r="F441" s="4">
        <f>CHOOSE( CONTROL!$C$32, 14.8625, 14.8569) * CHOOSE(CONTROL!$C$15, $D$11, 100%, $F$11)</f>
        <v>14.862500000000001</v>
      </c>
      <c r="G441" s="8">
        <f>CHOOSE( CONTROL!$C$32, 13.8061, 13.8007) * CHOOSE( CONTROL!$C$15, $D$11, 100%, $F$11)</f>
        <v>13.806100000000001</v>
      </c>
      <c r="H441" s="4">
        <f>CHOOSE( CONTROL!$C$32, 14.751, 14.7456) * CHOOSE(CONTROL!$C$15, $D$11, 100%, $F$11)</f>
        <v>14.750999999999999</v>
      </c>
      <c r="I441" s="8">
        <f>CHOOSE( CONTROL!$C$32, 13.6753, 13.67) * CHOOSE(CONTROL!$C$15, $D$11, 100%, $F$11)</f>
        <v>13.6753</v>
      </c>
      <c r="J441" s="4">
        <f>CHOOSE( CONTROL!$C$32, 13.5563, 13.5509) * CHOOSE(CONTROL!$C$15, $D$11, 100%, $F$11)</f>
        <v>13.5563</v>
      </c>
      <c r="K441" s="4"/>
      <c r="L441" s="9">
        <v>30.7165</v>
      </c>
      <c r="M441" s="9">
        <v>12.063700000000001</v>
      </c>
      <c r="N441" s="9">
        <v>4.9444999999999997</v>
      </c>
      <c r="O441" s="9">
        <v>0.37409999999999999</v>
      </c>
      <c r="P441" s="9">
        <v>1.2183999999999999</v>
      </c>
      <c r="Q441" s="9">
        <v>20.071300000000001</v>
      </c>
      <c r="R441" s="9"/>
      <c r="S441" s="11"/>
    </row>
    <row r="442" spans="1:19" ht="15.75">
      <c r="A442" s="13">
        <v>54969</v>
      </c>
      <c r="B442" s="8">
        <f>CHOOSE( CONTROL!$C$32, 13.9232, 13.9176) * CHOOSE(CONTROL!$C$15, $D$11, 100%, $F$11)</f>
        <v>13.9232</v>
      </c>
      <c r="C442" s="8">
        <f>CHOOSE( CONTROL!$C$32, 13.9313, 13.9257) * CHOOSE(CONTROL!$C$15, $D$11, 100%, $F$11)</f>
        <v>13.9313</v>
      </c>
      <c r="D442" s="8">
        <f>CHOOSE( CONTROL!$C$32, 13.9574, 13.9518) * CHOOSE( CONTROL!$C$15, $D$11, 100%, $F$11)</f>
        <v>13.9574</v>
      </c>
      <c r="E442" s="12">
        <f>CHOOSE( CONTROL!$C$32, 13.9467, 13.9411) * CHOOSE( CONTROL!$C$15, $D$11, 100%, $F$11)</f>
        <v>13.9467</v>
      </c>
      <c r="F442" s="4">
        <f>CHOOSE( CONTROL!$C$32, 14.6356, 14.63) * CHOOSE(CONTROL!$C$15, $D$11, 100%, $F$11)</f>
        <v>14.6356</v>
      </c>
      <c r="G442" s="8">
        <f>CHOOSE( CONTROL!$C$32, 13.5848, 13.5793) * CHOOSE( CONTROL!$C$15, $D$11, 100%, $F$11)</f>
        <v>13.5848</v>
      </c>
      <c r="H442" s="4">
        <f>CHOOSE( CONTROL!$C$32, 14.5294, 14.5239) * CHOOSE(CONTROL!$C$15, $D$11, 100%, $F$11)</f>
        <v>14.529400000000001</v>
      </c>
      <c r="I442" s="8">
        <f>CHOOSE( CONTROL!$C$32, 13.4582, 13.4528) * CHOOSE(CONTROL!$C$15, $D$11, 100%, $F$11)</f>
        <v>13.4582</v>
      </c>
      <c r="J442" s="4">
        <f>CHOOSE( CONTROL!$C$32, 13.3384, 13.3331) * CHOOSE(CONTROL!$C$15, $D$11, 100%, $F$11)</f>
        <v>13.3384</v>
      </c>
      <c r="K442" s="4"/>
      <c r="L442" s="9">
        <v>29.7257</v>
      </c>
      <c r="M442" s="9">
        <v>11.6745</v>
      </c>
      <c r="N442" s="9">
        <v>4.7850000000000001</v>
      </c>
      <c r="O442" s="9">
        <v>0.36199999999999999</v>
      </c>
      <c r="P442" s="9">
        <v>1.1791</v>
      </c>
      <c r="Q442" s="9">
        <v>19.4238</v>
      </c>
      <c r="R442" s="9"/>
      <c r="S442" s="11"/>
    </row>
    <row r="443" spans="1:19" ht="15.75">
      <c r="A443" s="13">
        <v>55000</v>
      </c>
      <c r="B443" s="8">
        <f>CHOOSE( CONTROL!$C$32, 14.5207, 14.5152) * CHOOSE(CONTROL!$C$15, $D$11, 100%, $F$11)</f>
        <v>14.5207</v>
      </c>
      <c r="C443" s="8">
        <f>CHOOSE( CONTROL!$C$32, 14.5288, 14.5233) * CHOOSE(CONTROL!$C$15, $D$11, 100%, $F$11)</f>
        <v>14.5288</v>
      </c>
      <c r="D443" s="8">
        <f>CHOOSE( CONTROL!$C$32, 14.5552, 14.5496) * CHOOSE( CONTROL!$C$15, $D$11, 100%, $F$11)</f>
        <v>14.555199999999999</v>
      </c>
      <c r="E443" s="12">
        <f>CHOOSE( CONTROL!$C$32, 14.5444, 14.5388) * CHOOSE( CONTROL!$C$15, $D$11, 100%, $F$11)</f>
        <v>14.5444</v>
      </c>
      <c r="F443" s="4">
        <f>CHOOSE( CONTROL!$C$32, 15.2331, 15.2276) * CHOOSE(CONTROL!$C$15, $D$11, 100%, $F$11)</f>
        <v>15.2331</v>
      </c>
      <c r="G443" s="8">
        <f>CHOOSE( CONTROL!$C$32, 14.1687, 14.1633) * CHOOSE( CONTROL!$C$15, $D$11, 100%, $F$11)</f>
        <v>14.168699999999999</v>
      </c>
      <c r="H443" s="4">
        <f>CHOOSE( CONTROL!$C$32, 15.113, 15.1076) * CHOOSE(CONTROL!$C$15, $D$11, 100%, $F$11)</f>
        <v>15.113</v>
      </c>
      <c r="I443" s="8">
        <f>CHOOSE( CONTROL!$C$32, 14.0331, 14.0278) * CHOOSE(CONTROL!$C$15, $D$11, 100%, $F$11)</f>
        <v>14.033099999999999</v>
      </c>
      <c r="J443" s="4">
        <f>CHOOSE( CONTROL!$C$32, 13.9121, 13.9068) * CHOOSE(CONTROL!$C$15, $D$11, 100%, $F$11)</f>
        <v>13.912100000000001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1.2183999999999999</v>
      </c>
      <c r="Q443" s="9">
        <v>20.071300000000001</v>
      </c>
      <c r="R443" s="9"/>
      <c r="S443" s="11"/>
    </row>
    <row r="444" spans="1:19" ht="15.75">
      <c r="A444" s="13">
        <v>55031</v>
      </c>
      <c r="B444" s="8">
        <f>CHOOSE( CONTROL!$C$32, 13.4026, 13.3971) * CHOOSE(CONTROL!$C$15, $D$11, 100%, $F$11)</f>
        <v>13.4026</v>
      </c>
      <c r="C444" s="8">
        <f>CHOOSE( CONTROL!$C$32, 13.4107, 13.4051) * CHOOSE(CONTROL!$C$15, $D$11, 100%, $F$11)</f>
        <v>13.4107</v>
      </c>
      <c r="D444" s="8">
        <f>CHOOSE( CONTROL!$C$32, 13.4371, 13.4315) * CHOOSE( CONTROL!$C$15, $D$11, 100%, $F$11)</f>
        <v>13.437099999999999</v>
      </c>
      <c r="E444" s="12">
        <f>CHOOSE( CONTROL!$C$32, 13.4263, 13.4207) * CHOOSE( CONTROL!$C$15, $D$11, 100%, $F$11)</f>
        <v>13.426299999999999</v>
      </c>
      <c r="F444" s="4">
        <f>CHOOSE( CONTROL!$C$32, 14.115, 14.1094) * CHOOSE(CONTROL!$C$15, $D$11, 100%, $F$11)</f>
        <v>14.115</v>
      </c>
      <c r="G444" s="8">
        <f>CHOOSE( CONTROL!$C$32, 13.0767, 13.0713) * CHOOSE( CONTROL!$C$15, $D$11, 100%, $F$11)</f>
        <v>13.076700000000001</v>
      </c>
      <c r="H444" s="4">
        <f>CHOOSE( CONTROL!$C$32, 14.021, 14.0155) * CHOOSE(CONTROL!$C$15, $D$11, 100%, $F$11)</f>
        <v>14.021000000000001</v>
      </c>
      <c r="I444" s="8">
        <f>CHOOSE( CONTROL!$C$32, 12.9594, 12.954) * CHOOSE(CONTROL!$C$15, $D$11, 100%, $F$11)</f>
        <v>12.9594</v>
      </c>
      <c r="J444" s="4">
        <f>CHOOSE( CONTROL!$C$32, 12.8386, 12.8333) * CHOOSE(CONTROL!$C$15, $D$11, 100%, $F$11)</f>
        <v>12.8386</v>
      </c>
      <c r="K444" s="4"/>
      <c r="L444" s="9">
        <v>30.7165</v>
      </c>
      <c r="M444" s="9">
        <v>12.063700000000001</v>
      </c>
      <c r="N444" s="9">
        <v>4.9444999999999997</v>
      </c>
      <c r="O444" s="9">
        <v>0.37409999999999999</v>
      </c>
      <c r="P444" s="9">
        <v>1.2183999999999999</v>
      </c>
      <c r="Q444" s="9">
        <v>20.071300000000001</v>
      </c>
      <c r="R444" s="9"/>
      <c r="S444" s="11"/>
    </row>
    <row r="445" spans="1:19" ht="15.75">
      <c r="A445" s="13">
        <v>55061</v>
      </c>
      <c r="B445" s="8">
        <f>CHOOSE( CONTROL!$C$32, 13.1226, 13.1171) * CHOOSE(CONTROL!$C$15, $D$11, 100%, $F$11)</f>
        <v>13.1226</v>
      </c>
      <c r="C445" s="8">
        <f>CHOOSE( CONTROL!$C$32, 13.1307, 13.1252) * CHOOSE(CONTROL!$C$15, $D$11, 100%, $F$11)</f>
        <v>13.130699999999999</v>
      </c>
      <c r="D445" s="8">
        <f>CHOOSE( CONTROL!$C$32, 13.1571, 13.1515) * CHOOSE( CONTROL!$C$15, $D$11, 100%, $F$11)</f>
        <v>13.1571</v>
      </c>
      <c r="E445" s="12">
        <f>CHOOSE( CONTROL!$C$32, 13.1463, 13.1407) * CHOOSE( CONTROL!$C$15, $D$11, 100%, $F$11)</f>
        <v>13.1463</v>
      </c>
      <c r="F445" s="4">
        <f>CHOOSE( CONTROL!$C$32, 13.835, 13.8295) * CHOOSE(CONTROL!$C$15, $D$11, 100%, $F$11)</f>
        <v>13.835000000000001</v>
      </c>
      <c r="G445" s="8">
        <f>CHOOSE( CONTROL!$C$32, 12.8032, 12.7978) * CHOOSE( CONTROL!$C$15, $D$11, 100%, $F$11)</f>
        <v>12.8032</v>
      </c>
      <c r="H445" s="4">
        <f>CHOOSE( CONTROL!$C$32, 13.7475, 13.742) * CHOOSE(CONTROL!$C$15, $D$11, 100%, $F$11)</f>
        <v>13.7475</v>
      </c>
      <c r="I445" s="8">
        <f>CHOOSE( CONTROL!$C$32, 12.6902, 12.6848) * CHOOSE(CONTROL!$C$15, $D$11, 100%, $F$11)</f>
        <v>12.690200000000001</v>
      </c>
      <c r="J445" s="4">
        <f>CHOOSE( CONTROL!$C$32, 12.5698, 12.5645) * CHOOSE(CONTROL!$C$15, $D$11, 100%, $F$11)</f>
        <v>12.569800000000001</v>
      </c>
      <c r="K445" s="4"/>
      <c r="L445" s="9">
        <v>29.7257</v>
      </c>
      <c r="M445" s="9">
        <v>11.6745</v>
      </c>
      <c r="N445" s="9">
        <v>4.7850000000000001</v>
      </c>
      <c r="O445" s="9">
        <v>0.36199999999999999</v>
      </c>
      <c r="P445" s="9">
        <v>1.1791</v>
      </c>
      <c r="Q445" s="9">
        <v>19.4238</v>
      </c>
      <c r="R445" s="9"/>
      <c r="S445" s="11"/>
    </row>
    <row r="446" spans="1:19" ht="15.75">
      <c r="A446" s="13">
        <v>55092</v>
      </c>
      <c r="B446" s="8">
        <f>13.6967 * CHOOSE(CONTROL!$C$15, $D$11, 100%, $F$11)</f>
        <v>13.6967</v>
      </c>
      <c r="C446" s="8">
        <f>13.7021 * CHOOSE(CONTROL!$C$15, $D$11, 100%, $F$11)</f>
        <v>13.7021</v>
      </c>
      <c r="D446" s="8">
        <f>13.7333 * CHOOSE( CONTROL!$C$15, $D$11, 100%, $F$11)</f>
        <v>13.7333</v>
      </c>
      <c r="E446" s="12">
        <f>13.7224 * CHOOSE( CONTROL!$C$15, $D$11, 100%, $F$11)</f>
        <v>13.7224</v>
      </c>
      <c r="F446" s="4">
        <f>14.4108 * CHOOSE(CONTROL!$C$15, $D$11, 100%, $F$11)</f>
        <v>14.4108</v>
      </c>
      <c r="G446" s="8">
        <f>13.3647 * CHOOSE( CONTROL!$C$15, $D$11, 100%, $F$11)</f>
        <v>13.364699999999999</v>
      </c>
      <c r="H446" s="4">
        <f>14.3099 * CHOOSE(CONTROL!$C$15, $D$11, 100%, $F$11)</f>
        <v>14.309900000000001</v>
      </c>
      <c r="I446" s="8">
        <f>13.2441 * CHOOSE(CONTROL!$C$15, $D$11, 100%, $F$11)</f>
        <v>13.2441</v>
      </c>
      <c r="J446" s="4">
        <f>13.1226 * CHOOSE(CONTROL!$C$15, $D$11, 100%, $F$11)</f>
        <v>13.1226</v>
      </c>
      <c r="K446" s="4"/>
      <c r="L446" s="9">
        <v>31.095300000000002</v>
      </c>
      <c r="M446" s="9">
        <v>12.063700000000001</v>
      </c>
      <c r="N446" s="9">
        <v>4.9444999999999997</v>
      </c>
      <c r="O446" s="9">
        <v>0.37409999999999999</v>
      </c>
      <c r="P446" s="9">
        <v>1.2183999999999999</v>
      </c>
      <c r="Q446" s="9">
        <v>20.071300000000001</v>
      </c>
      <c r="R446" s="9"/>
      <c r="S446" s="11"/>
    </row>
    <row r="447" spans="1:19" ht="15.75">
      <c r="A447" s="13">
        <v>55122</v>
      </c>
      <c r="B447" s="8">
        <f>14.7694 * CHOOSE(CONTROL!$C$15, $D$11, 100%, $F$11)</f>
        <v>14.769399999999999</v>
      </c>
      <c r="C447" s="8">
        <f>14.7745 * CHOOSE(CONTROL!$C$15, $D$11, 100%, $F$11)</f>
        <v>14.7745</v>
      </c>
      <c r="D447" s="8">
        <f>14.7608 * CHOOSE( CONTROL!$C$15, $D$11, 100%, $F$11)</f>
        <v>14.7608</v>
      </c>
      <c r="E447" s="12">
        <f>14.7653 * CHOOSE( CONTROL!$C$15, $D$11, 100%, $F$11)</f>
        <v>14.7653</v>
      </c>
      <c r="F447" s="4">
        <f>15.4198 * CHOOSE(CONTROL!$C$15, $D$11, 100%, $F$11)</f>
        <v>15.4198</v>
      </c>
      <c r="G447" s="8">
        <f>14.4204 * CHOOSE( CONTROL!$C$15, $D$11, 100%, $F$11)</f>
        <v>14.420400000000001</v>
      </c>
      <c r="H447" s="4">
        <f>15.2954 * CHOOSE(CONTROL!$C$15, $D$11, 100%, $F$11)</f>
        <v>15.295400000000001</v>
      </c>
      <c r="I447" s="8">
        <f>14.3185 * CHOOSE(CONTROL!$C$15, $D$11, 100%, $F$11)</f>
        <v>14.3185</v>
      </c>
      <c r="J447" s="4">
        <f>14.1529 * CHOOSE(CONTROL!$C$15, $D$11, 100%, $F$11)</f>
        <v>14.152900000000001</v>
      </c>
      <c r="K447" s="4"/>
      <c r="L447" s="9">
        <v>28.360600000000002</v>
      </c>
      <c r="M447" s="9">
        <v>11.6745</v>
      </c>
      <c r="N447" s="9">
        <v>4.7850000000000001</v>
      </c>
      <c r="O447" s="9">
        <v>0.36199999999999999</v>
      </c>
      <c r="P447" s="9">
        <v>1.2509999999999999</v>
      </c>
      <c r="Q447" s="9">
        <v>19.4238</v>
      </c>
      <c r="R447" s="9"/>
      <c r="S447" s="11"/>
    </row>
    <row r="448" spans="1:19" ht="15.75">
      <c r="A448" s="13">
        <v>55153</v>
      </c>
      <c r="B448" s="8">
        <f>14.7425 * CHOOSE(CONTROL!$C$15, $D$11, 100%, $F$11)</f>
        <v>14.7425</v>
      </c>
      <c r="C448" s="8">
        <f>14.7477 * CHOOSE(CONTROL!$C$15, $D$11, 100%, $F$11)</f>
        <v>14.7477</v>
      </c>
      <c r="D448" s="8">
        <f>14.7354 * CHOOSE( CONTROL!$C$15, $D$11, 100%, $F$11)</f>
        <v>14.7354</v>
      </c>
      <c r="E448" s="12">
        <f>14.7393 * CHOOSE( CONTROL!$C$15, $D$11, 100%, $F$11)</f>
        <v>14.7393</v>
      </c>
      <c r="F448" s="4">
        <f>15.393 * CHOOSE(CONTROL!$C$15, $D$11, 100%, $F$11)</f>
        <v>15.393000000000001</v>
      </c>
      <c r="G448" s="8">
        <f>14.3953 * CHOOSE( CONTROL!$C$15, $D$11, 100%, $F$11)</f>
        <v>14.395300000000001</v>
      </c>
      <c r="H448" s="4">
        <f>15.2692 * CHOOSE(CONTROL!$C$15, $D$11, 100%, $F$11)</f>
        <v>15.2692</v>
      </c>
      <c r="I448" s="8">
        <f>14.2975 * CHOOSE(CONTROL!$C$15, $D$11, 100%, $F$11)</f>
        <v>14.297499999999999</v>
      </c>
      <c r="J448" s="4">
        <f>14.1271 * CHOOSE(CONTROL!$C$15, $D$11, 100%, $F$11)</f>
        <v>14.1271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20.071300000000001</v>
      </c>
      <c r="R448" s="9"/>
      <c r="S448" s="11"/>
    </row>
    <row r="449" spans="1:19" ht="15.75">
      <c r="A449" s="13">
        <v>55184</v>
      </c>
      <c r="B449" s="8">
        <f>15.3049 * CHOOSE(CONTROL!$C$15, $D$11, 100%, $F$11)</f>
        <v>15.3049</v>
      </c>
      <c r="C449" s="8">
        <f>15.3101 * CHOOSE(CONTROL!$C$15, $D$11, 100%, $F$11)</f>
        <v>15.3101</v>
      </c>
      <c r="D449" s="8">
        <f>15.2925 * CHOOSE( CONTROL!$C$15, $D$11, 100%, $F$11)</f>
        <v>15.2925</v>
      </c>
      <c r="E449" s="12">
        <f>15.2984 * CHOOSE( CONTROL!$C$15, $D$11, 100%, $F$11)</f>
        <v>15.298400000000001</v>
      </c>
      <c r="F449" s="4">
        <f>15.9554 * CHOOSE(CONTROL!$C$15, $D$11, 100%, $F$11)</f>
        <v>15.955399999999999</v>
      </c>
      <c r="G449" s="8">
        <f>14.9345 * CHOOSE( CONTROL!$C$15, $D$11, 100%, $F$11)</f>
        <v>14.9345</v>
      </c>
      <c r="H449" s="4">
        <f>15.8184 * CHOOSE(CONTROL!$C$15, $D$11, 100%, $F$11)</f>
        <v>15.8184</v>
      </c>
      <c r="I449" s="8">
        <f>14.7976 * CHOOSE(CONTROL!$C$15, $D$11, 100%, $F$11)</f>
        <v>14.797599999999999</v>
      </c>
      <c r="J449" s="4">
        <f>14.6671 * CHOOSE(CONTROL!$C$15, $D$11, 100%, $F$11)</f>
        <v>14.6671</v>
      </c>
      <c r="K449" s="4"/>
      <c r="L449" s="9">
        <v>29.306000000000001</v>
      </c>
      <c r="M449" s="9">
        <v>12.063700000000001</v>
      </c>
      <c r="N449" s="9">
        <v>4.9444999999999997</v>
      </c>
      <c r="O449" s="9">
        <v>0.37409999999999999</v>
      </c>
      <c r="P449" s="9">
        <v>1.2927</v>
      </c>
      <c r="Q449" s="9">
        <v>20.007999999999999</v>
      </c>
      <c r="R449" s="9"/>
      <c r="S449" s="11"/>
    </row>
    <row r="450" spans="1:19" ht="15.75">
      <c r="A450" s="13">
        <v>55212</v>
      </c>
      <c r="B450" s="8">
        <f>14.3173 * CHOOSE(CONTROL!$C$15, $D$11, 100%, $F$11)</f>
        <v>14.317299999999999</v>
      </c>
      <c r="C450" s="8">
        <f>14.3225 * CHOOSE(CONTROL!$C$15, $D$11, 100%, $F$11)</f>
        <v>14.3225</v>
      </c>
      <c r="D450" s="8">
        <f>14.3049 * CHOOSE( CONTROL!$C$15, $D$11, 100%, $F$11)</f>
        <v>14.3049</v>
      </c>
      <c r="E450" s="12">
        <f>14.3108 * CHOOSE( CONTROL!$C$15, $D$11, 100%, $F$11)</f>
        <v>14.3108</v>
      </c>
      <c r="F450" s="4">
        <f>14.9678 * CHOOSE(CONTROL!$C$15, $D$11, 100%, $F$11)</f>
        <v>14.9678</v>
      </c>
      <c r="G450" s="8">
        <f>13.9699 * CHOOSE( CONTROL!$C$15, $D$11, 100%, $F$11)</f>
        <v>13.969900000000001</v>
      </c>
      <c r="H450" s="4">
        <f>14.8538 * CHOOSE(CONTROL!$C$15, $D$11, 100%, $F$11)</f>
        <v>14.8538</v>
      </c>
      <c r="I450" s="8">
        <f>13.8487 * CHOOSE(CONTROL!$C$15, $D$11, 100%, $F$11)</f>
        <v>13.848699999999999</v>
      </c>
      <c r="J450" s="4">
        <f>13.7189 * CHOOSE(CONTROL!$C$15, $D$11, 100%, $F$11)</f>
        <v>13.7189</v>
      </c>
      <c r="K450" s="4"/>
      <c r="L450" s="9">
        <v>26.469899999999999</v>
      </c>
      <c r="M450" s="9">
        <v>10.8962</v>
      </c>
      <c r="N450" s="9">
        <v>4.4660000000000002</v>
      </c>
      <c r="O450" s="9">
        <v>0.33789999999999998</v>
      </c>
      <c r="P450" s="9">
        <v>1.1676</v>
      </c>
      <c r="Q450" s="9">
        <v>18.0718</v>
      </c>
      <c r="R450" s="9"/>
      <c r="S450" s="11"/>
    </row>
    <row r="451" spans="1:19" ht="15.75">
      <c r="A451" s="13">
        <v>55243</v>
      </c>
      <c r="B451" s="8">
        <f>14.0131 * CHOOSE(CONTROL!$C$15, $D$11, 100%, $F$11)</f>
        <v>14.0131</v>
      </c>
      <c r="C451" s="8">
        <f>14.0183 * CHOOSE(CONTROL!$C$15, $D$11, 100%, $F$11)</f>
        <v>14.0183</v>
      </c>
      <c r="D451" s="8">
        <f>14.0003 * CHOOSE( CONTROL!$C$15, $D$11, 100%, $F$11)</f>
        <v>14.000299999999999</v>
      </c>
      <c r="E451" s="12">
        <f>14.0063 * CHOOSE( CONTROL!$C$15, $D$11, 100%, $F$11)</f>
        <v>14.0063</v>
      </c>
      <c r="F451" s="4">
        <f>14.6636 * CHOOSE(CONTROL!$C$15, $D$11, 100%, $F$11)</f>
        <v>14.663600000000001</v>
      </c>
      <c r="G451" s="8">
        <f>13.6725 * CHOOSE( CONTROL!$C$15, $D$11, 100%, $F$11)</f>
        <v>13.672499999999999</v>
      </c>
      <c r="H451" s="4">
        <f>14.5567 * CHOOSE(CONTROL!$C$15, $D$11, 100%, $F$11)</f>
        <v>14.556699999999999</v>
      </c>
      <c r="I451" s="8">
        <f>13.5554 * CHOOSE(CONTROL!$C$15, $D$11, 100%, $F$11)</f>
        <v>13.555400000000001</v>
      </c>
      <c r="J451" s="4">
        <f>13.4268 * CHOOSE(CONTROL!$C$15, $D$11, 100%, $F$11)</f>
        <v>13.4268</v>
      </c>
      <c r="K451" s="4"/>
      <c r="L451" s="9">
        <v>29.306000000000001</v>
      </c>
      <c r="M451" s="9">
        <v>12.063700000000001</v>
      </c>
      <c r="N451" s="9">
        <v>4.9444999999999997</v>
      </c>
      <c r="O451" s="9">
        <v>0.37409999999999999</v>
      </c>
      <c r="P451" s="9">
        <v>1.2927</v>
      </c>
      <c r="Q451" s="9">
        <v>20.007999999999999</v>
      </c>
      <c r="R451" s="9"/>
      <c r="S451" s="11"/>
    </row>
    <row r="452" spans="1:19" ht="15.75">
      <c r="A452" s="13">
        <v>55273</v>
      </c>
      <c r="B452" s="8">
        <f>14.2264 * CHOOSE(CONTROL!$C$15, $D$11, 100%, $F$11)</f>
        <v>14.2264</v>
      </c>
      <c r="C452" s="8">
        <f>14.2311 * CHOOSE(CONTROL!$C$15, $D$11, 100%, $F$11)</f>
        <v>14.2311</v>
      </c>
      <c r="D452" s="8">
        <f>14.2622 * CHOOSE( CONTROL!$C$15, $D$11, 100%, $F$11)</f>
        <v>14.2622</v>
      </c>
      <c r="E452" s="12">
        <f>14.2514 * CHOOSE( CONTROL!$C$15, $D$11, 100%, $F$11)</f>
        <v>14.2514</v>
      </c>
      <c r="F452" s="4">
        <f>14.9402 * CHOOSE(CONTROL!$C$15, $D$11, 100%, $F$11)</f>
        <v>14.940200000000001</v>
      </c>
      <c r="G452" s="8">
        <f>13.8809 * CHOOSE( CONTROL!$C$15, $D$11, 100%, $F$11)</f>
        <v>13.8809</v>
      </c>
      <c r="H452" s="4">
        <f>14.8269 * CHOOSE(CONTROL!$C$15, $D$11, 100%, $F$11)</f>
        <v>14.8269</v>
      </c>
      <c r="I452" s="8">
        <f>13.75 * CHOOSE(CONTROL!$C$15, $D$11, 100%, $F$11)</f>
        <v>13.75</v>
      </c>
      <c r="J452" s="4">
        <f>13.6309 * CHOOSE(CONTROL!$C$15, $D$11, 100%, $F$11)</f>
        <v>13.6309</v>
      </c>
      <c r="K452" s="4"/>
      <c r="L452" s="9">
        <v>30.092199999999998</v>
      </c>
      <c r="M452" s="9">
        <v>11.6745</v>
      </c>
      <c r="N452" s="9">
        <v>4.7850000000000001</v>
      </c>
      <c r="O452" s="9">
        <v>0.36199999999999999</v>
      </c>
      <c r="P452" s="9">
        <v>1.1791</v>
      </c>
      <c r="Q452" s="9">
        <v>19.3626</v>
      </c>
      <c r="R452" s="9"/>
      <c r="S452" s="11"/>
    </row>
    <row r="453" spans="1:19" ht="15.75">
      <c r="A453" s="13">
        <v>55304</v>
      </c>
      <c r="B453" s="8">
        <f>CHOOSE( CONTROL!$C$32, 14.6117, 14.6061) * CHOOSE(CONTROL!$C$15, $D$11, 100%, $F$11)</f>
        <v>14.611700000000001</v>
      </c>
      <c r="C453" s="8">
        <f>CHOOSE( CONTROL!$C$32, 14.6198, 14.6142) * CHOOSE(CONTROL!$C$15, $D$11, 100%, $F$11)</f>
        <v>14.6198</v>
      </c>
      <c r="D453" s="8">
        <f>CHOOSE( CONTROL!$C$32, 14.6457, 14.6402) * CHOOSE( CONTROL!$C$15, $D$11, 100%, $F$11)</f>
        <v>14.6457</v>
      </c>
      <c r="E453" s="12">
        <f>CHOOSE( CONTROL!$C$32, 14.6351, 14.6295) * CHOOSE( CONTROL!$C$15, $D$11, 100%, $F$11)</f>
        <v>14.6351</v>
      </c>
      <c r="F453" s="4">
        <f>CHOOSE( CONTROL!$C$32, 15.3241, 15.3185) * CHOOSE(CONTROL!$C$15, $D$11, 100%, $F$11)</f>
        <v>15.3241</v>
      </c>
      <c r="G453" s="8">
        <f>CHOOSE( CONTROL!$C$32, 14.257, 14.2515) * CHOOSE( CONTROL!$C$15, $D$11, 100%, $F$11)</f>
        <v>14.257</v>
      </c>
      <c r="H453" s="4">
        <f>CHOOSE( CONTROL!$C$32, 15.2018, 15.1964) * CHOOSE(CONTROL!$C$15, $D$11, 100%, $F$11)</f>
        <v>15.2018</v>
      </c>
      <c r="I453" s="8">
        <f>CHOOSE( CONTROL!$C$32, 14.1187, 14.1134) * CHOOSE(CONTROL!$C$15, $D$11, 100%, $F$11)</f>
        <v>14.1187</v>
      </c>
      <c r="J453" s="4">
        <f>CHOOSE( CONTROL!$C$32, 13.9994, 13.9941) * CHOOSE(CONTROL!$C$15, $D$11, 100%, $F$11)</f>
        <v>13.9994</v>
      </c>
      <c r="K453" s="4"/>
      <c r="L453" s="9">
        <v>30.7165</v>
      </c>
      <c r="M453" s="9">
        <v>12.063700000000001</v>
      </c>
      <c r="N453" s="9">
        <v>4.9444999999999997</v>
      </c>
      <c r="O453" s="9">
        <v>0.37409999999999999</v>
      </c>
      <c r="P453" s="9">
        <v>1.2183999999999999</v>
      </c>
      <c r="Q453" s="9">
        <v>20.007999999999999</v>
      </c>
      <c r="R453" s="9"/>
      <c r="S453" s="11"/>
    </row>
    <row r="454" spans="1:19" ht="15.75">
      <c r="A454" s="13">
        <v>55334</v>
      </c>
      <c r="B454" s="8">
        <f>CHOOSE( CONTROL!$C$32, 14.3773, 14.3718) * CHOOSE(CONTROL!$C$15, $D$11, 100%, $F$11)</f>
        <v>14.3773</v>
      </c>
      <c r="C454" s="8">
        <f>CHOOSE( CONTROL!$C$32, 14.3854, 14.3799) * CHOOSE(CONTROL!$C$15, $D$11, 100%, $F$11)</f>
        <v>14.385400000000001</v>
      </c>
      <c r="D454" s="8">
        <f>CHOOSE( CONTROL!$C$32, 14.4116, 14.406) * CHOOSE( CONTROL!$C$15, $D$11, 100%, $F$11)</f>
        <v>14.4116</v>
      </c>
      <c r="E454" s="12">
        <f>CHOOSE( CONTROL!$C$32, 14.4009, 14.3953) * CHOOSE( CONTROL!$C$15, $D$11, 100%, $F$11)</f>
        <v>14.4009</v>
      </c>
      <c r="F454" s="4">
        <f>CHOOSE( CONTROL!$C$32, 15.0897, 15.0842) * CHOOSE(CONTROL!$C$15, $D$11, 100%, $F$11)</f>
        <v>15.089700000000001</v>
      </c>
      <c r="G454" s="8">
        <f>CHOOSE( CONTROL!$C$32, 14.0283, 14.0229) * CHOOSE( CONTROL!$C$15, $D$11, 100%, $F$11)</f>
        <v>14.0283</v>
      </c>
      <c r="H454" s="4">
        <f>CHOOSE( CONTROL!$C$32, 14.973, 14.9675) * CHOOSE(CONTROL!$C$15, $D$11, 100%, $F$11)</f>
        <v>14.973000000000001</v>
      </c>
      <c r="I454" s="8">
        <f>CHOOSE( CONTROL!$C$32, 13.8944, 13.8891) * CHOOSE(CONTROL!$C$15, $D$11, 100%, $F$11)</f>
        <v>13.894399999999999</v>
      </c>
      <c r="J454" s="4">
        <f>CHOOSE( CONTROL!$C$32, 13.7745, 13.7691) * CHOOSE(CONTROL!$C$15, $D$11, 100%, $F$11)</f>
        <v>13.7745</v>
      </c>
      <c r="K454" s="4"/>
      <c r="L454" s="9">
        <v>29.7257</v>
      </c>
      <c r="M454" s="9">
        <v>11.6745</v>
      </c>
      <c r="N454" s="9">
        <v>4.7850000000000001</v>
      </c>
      <c r="O454" s="9">
        <v>0.36199999999999999</v>
      </c>
      <c r="P454" s="9">
        <v>1.1791</v>
      </c>
      <c r="Q454" s="9">
        <v>19.3626</v>
      </c>
      <c r="R454" s="9"/>
      <c r="S454" s="11"/>
    </row>
    <row r="455" spans="1:19" ht="15.75">
      <c r="A455" s="13">
        <v>55365</v>
      </c>
      <c r="B455" s="8">
        <f>CHOOSE( CONTROL!$C$32, 14.9944, 14.9889) * CHOOSE(CONTROL!$C$15, $D$11, 100%, $F$11)</f>
        <v>14.994400000000001</v>
      </c>
      <c r="C455" s="8">
        <f>CHOOSE( CONTROL!$C$32, 15.0025, 14.997) * CHOOSE(CONTROL!$C$15, $D$11, 100%, $F$11)</f>
        <v>15.0025</v>
      </c>
      <c r="D455" s="8">
        <f>CHOOSE( CONTROL!$C$32, 15.0289, 15.0233) * CHOOSE( CONTROL!$C$15, $D$11, 100%, $F$11)</f>
        <v>15.0289</v>
      </c>
      <c r="E455" s="12">
        <f>CHOOSE( CONTROL!$C$32, 15.0181, 15.0125) * CHOOSE( CONTROL!$C$15, $D$11, 100%, $F$11)</f>
        <v>15.0181</v>
      </c>
      <c r="F455" s="4">
        <f>CHOOSE( CONTROL!$C$32, 15.7068, 15.7013) * CHOOSE(CONTROL!$C$15, $D$11, 100%, $F$11)</f>
        <v>15.706799999999999</v>
      </c>
      <c r="G455" s="8">
        <f>CHOOSE( CONTROL!$C$32, 14.6314, 14.6259) * CHOOSE( CONTROL!$C$15, $D$11, 100%, $F$11)</f>
        <v>14.631399999999999</v>
      </c>
      <c r="H455" s="4">
        <f>CHOOSE( CONTROL!$C$32, 15.5757, 15.5703) * CHOOSE(CONTROL!$C$15, $D$11, 100%, $F$11)</f>
        <v>15.575699999999999</v>
      </c>
      <c r="I455" s="8">
        <f>CHOOSE( CONTROL!$C$32, 14.4882, 14.4828) * CHOOSE(CONTROL!$C$15, $D$11, 100%, $F$11)</f>
        <v>14.488200000000001</v>
      </c>
      <c r="J455" s="4">
        <f>CHOOSE( CONTROL!$C$32, 14.3669, 14.3616) * CHOOSE(CONTROL!$C$15, $D$11, 100%, $F$11)</f>
        <v>14.366899999999999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1.2183999999999999</v>
      </c>
      <c r="Q455" s="9">
        <v>20.007999999999999</v>
      </c>
      <c r="R455" s="9"/>
      <c r="S455" s="11"/>
    </row>
    <row r="456" spans="1:19" ht="15.75">
      <c r="A456" s="13">
        <v>55396</v>
      </c>
      <c r="B456" s="8">
        <f>CHOOSE( CONTROL!$C$32, 13.8398, 13.8342) * CHOOSE(CONTROL!$C$15, $D$11, 100%, $F$11)</f>
        <v>13.8398</v>
      </c>
      <c r="C456" s="8">
        <f>CHOOSE( CONTROL!$C$32, 13.8478, 13.8423) * CHOOSE(CONTROL!$C$15, $D$11, 100%, $F$11)</f>
        <v>13.847799999999999</v>
      </c>
      <c r="D456" s="8">
        <f>CHOOSE( CONTROL!$C$32, 13.8742, 13.8687) * CHOOSE( CONTROL!$C$15, $D$11, 100%, $F$11)</f>
        <v>13.8742</v>
      </c>
      <c r="E456" s="12">
        <f>CHOOSE( CONTROL!$C$32, 13.8634, 13.8579) * CHOOSE( CONTROL!$C$15, $D$11, 100%, $F$11)</f>
        <v>13.8634</v>
      </c>
      <c r="F456" s="4">
        <f>CHOOSE( CONTROL!$C$32, 14.5522, 14.5466) * CHOOSE(CONTROL!$C$15, $D$11, 100%, $F$11)</f>
        <v>14.552199999999999</v>
      </c>
      <c r="G456" s="8">
        <f>CHOOSE( CONTROL!$C$32, 13.5037, 13.4982) * CHOOSE( CONTROL!$C$15, $D$11, 100%, $F$11)</f>
        <v>13.5037</v>
      </c>
      <c r="H456" s="4">
        <f>CHOOSE( CONTROL!$C$32, 14.4479, 14.4425) * CHOOSE(CONTROL!$C$15, $D$11, 100%, $F$11)</f>
        <v>14.447900000000001</v>
      </c>
      <c r="I456" s="8">
        <f>CHOOSE( CONTROL!$C$32, 13.3793, 13.3739) * CHOOSE(CONTROL!$C$15, $D$11, 100%, $F$11)</f>
        <v>13.379300000000001</v>
      </c>
      <c r="J456" s="4">
        <f>CHOOSE( CONTROL!$C$32, 13.2583, 13.253) * CHOOSE(CONTROL!$C$15, $D$11, 100%, $F$11)</f>
        <v>13.2583</v>
      </c>
      <c r="K456" s="4"/>
      <c r="L456" s="9">
        <v>30.7165</v>
      </c>
      <c r="M456" s="9">
        <v>12.063700000000001</v>
      </c>
      <c r="N456" s="9">
        <v>4.9444999999999997</v>
      </c>
      <c r="O456" s="9">
        <v>0.37409999999999999</v>
      </c>
      <c r="P456" s="9">
        <v>1.2183999999999999</v>
      </c>
      <c r="Q456" s="9">
        <v>20.007999999999999</v>
      </c>
      <c r="R456" s="9"/>
      <c r="S456" s="11"/>
    </row>
    <row r="457" spans="1:19" ht="15.75">
      <c r="A457" s="13">
        <v>55426</v>
      </c>
      <c r="B457" s="8">
        <f>CHOOSE( CONTROL!$C$32, 13.5506, 13.545) * CHOOSE(CONTROL!$C$15, $D$11, 100%, $F$11)</f>
        <v>13.550599999999999</v>
      </c>
      <c r="C457" s="8">
        <f>CHOOSE( CONTROL!$C$32, 13.5587, 13.5531) * CHOOSE(CONTROL!$C$15, $D$11, 100%, $F$11)</f>
        <v>13.5587</v>
      </c>
      <c r="D457" s="8">
        <f>CHOOSE( CONTROL!$C$32, 13.5851, 13.5795) * CHOOSE( CONTROL!$C$15, $D$11, 100%, $F$11)</f>
        <v>13.585100000000001</v>
      </c>
      <c r="E457" s="12">
        <f>CHOOSE( CONTROL!$C$32, 13.5743, 13.5687) * CHOOSE( CONTROL!$C$15, $D$11, 100%, $F$11)</f>
        <v>13.574299999999999</v>
      </c>
      <c r="F457" s="4">
        <f>CHOOSE( CONTROL!$C$32, 14.263, 14.2574) * CHOOSE(CONTROL!$C$15, $D$11, 100%, $F$11)</f>
        <v>14.263</v>
      </c>
      <c r="G457" s="8">
        <f>CHOOSE( CONTROL!$C$32, 13.2212, 13.2158) * CHOOSE( CONTROL!$C$15, $D$11, 100%, $F$11)</f>
        <v>13.2212</v>
      </c>
      <c r="H457" s="4">
        <f>CHOOSE( CONTROL!$C$32, 14.1655, 14.1601) * CHOOSE(CONTROL!$C$15, $D$11, 100%, $F$11)</f>
        <v>14.1655</v>
      </c>
      <c r="I457" s="8">
        <f>CHOOSE( CONTROL!$C$32, 13.1013, 13.096) * CHOOSE(CONTROL!$C$15, $D$11, 100%, $F$11)</f>
        <v>13.1013</v>
      </c>
      <c r="J457" s="4">
        <f>CHOOSE( CONTROL!$C$32, 12.9807, 12.9754) * CHOOSE(CONTROL!$C$15, $D$11, 100%, $F$11)</f>
        <v>12.980700000000001</v>
      </c>
      <c r="K457" s="4"/>
      <c r="L457" s="9">
        <v>29.7257</v>
      </c>
      <c r="M457" s="9">
        <v>11.6745</v>
      </c>
      <c r="N457" s="9">
        <v>4.7850000000000001</v>
      </c>
      <c r="O457" s="9">
        <v>0.36199999999999999</v>
      </c>
      <c r="P457" s="9">
        <v>1.1791</v>
      </c>
      <c r="Q457" s="9">
        <v>19.3626</v>
      </c>
      <c r="R457" s="9"/>
      <c r="S457" s="11"/>
    </row>
    <row r="458" spans="1:19" ht="15.75">
      <c r="A458" s="13">
        <v>55457</v>
      </c>
      <c r="B458" s="8">
        <f>14.1437 * CHOOSE(CONTROL!$C$15, $D$11, 100%, $F$11)</f>
        <v>14.143700000000001</v>
      </c>
      <c r="C458" s="8">
        <f>14.1491 * CHOOSE(CONTROL!$C$15, $D$11, 100%, $F$11)</f>
        <v>14.149100000000001</v>
      </c>
      <c r="D458" s="8">
        <f>14.1803 * CHOOSE( CONTROL!$C$15, $D$11, 100%, $F$11)</f>
        <v>14.180300000000001</v>
      </c>
      <c r="E458" s="12">
        <f>14.1694 * CHOOSE( CONTROL!$C$15, $D$11, 100%, $F$11)</f>
        <v>14.1694</v>
      </c>
      <c r="F458" s="4">
        <f>14.8578 * CHOOSE(CONTROL!$C$15, $D$11, 100%, $F$11)</f>
        <v>14.857799999999999</v>
      </c>
      <c r="G458" s="8">
        <f>13.8013 * CHOOSE( CONTROL!$C$15, $D$11, 100%, $F$11)</f>
        <v>13.801299999999999</v>
      </c>
      <c r="H458" s="4">
        <f>14.7464 * CHOOSE(CONTROL!$C$15, $D$11, 100%, $F$11)</f>
        <v>14.7464</v>
      </c>
      <c r="I458" s="8">
        <f>13.6735 * CHOOSE(CONTROL!$C$15, $D$11, 100%, $F$11)</f>
        <v>13.673500000000001</v>
      </c>
      <c r="J458" s="4">
        <f>13.5518 * CHOOSE(CONTROL!$C$15, $D$11, 100%, $F$11)</f>
        <v>13.5518</v>
      </c>
      <c r="K458" s="4"/>
      <c r="L458" s="9">
        <v>31.095300000000002</v>
      </c>
      <c r="M458" s="9">
        <v>12.063700000000001</v>
      </c>
      <c r="N458" s="9">
        <v>4.9444999999999997</v>
      </c>
      <c r="O458" s="9">
        <v>0.37409999999999999</v>
      </c>
      <c r="P458" s="9">
        <v>1.2183999999999999</v>
      </c>
      <c r="Q458" s="9">
        <v>20.007999999999999</v>
      </c>
      <c r="R458" s="9"/>
      <c r="S458" s="11"/>
    </row>
    <row r="459" spans="1:19" ht="15.75">
      <c r="A459" s="13">
        <v>55487</v>
      </c>
      <c r="B459" s="8">
        <f>15.2514 * CHOOSE(CONTROL!$C$15, $D$11, 100%, $F$11)</f>
        <v>15.2514</v>
      </c>
      <c r="C459" s="8">
        <f>15.2566 * CHOOSE(CONTROL!$C$15, $D$11, 100%, $F$11)</f>
        <v>15.256600000000001</v>
      </c>
      <c r="D459" s="8">
        <f>15.2429 * CHOOSE( CONTROL!$C$15, $D$11, 100%, $F$11)</f>
        <v>15.242900000000001</v>
      </c>
      <c r="E459" s="12">
        <f>15.2474 * CHOOSE( CONTROL!$C$15, $D$11, 100%, $F$11)</f>
        <v>15.247400000000001</v>
      </c>
      <c r="F459" s="4">
        <f>15.9019 * CHOOSE(CONTROL!$C$15, $D$11, 100%, $F$11)</f>
        <v>15.901899999999999</v>
      </c>
      <c r="G459" s="8">
        <f>14.8912 * CHOOSE( CONTROL!$C$15, $D$11, 100%, $F$11)</f>
        <v>14.8912</v>
      </c>
      <c r="H459" s="4">
        <f>15.7662 * CHOOSE(CONTROL!$C$15, $D$11, 100%, $F$11)</f>
        <v>15.7662</v>
      </c>
      <c r="I459" s="8">
        <f>14.7816 * CHOOSE(CONTROL!$C$15, $D$11, 100%, $F$11)</f>
        <v>14.781599999999999</v>
      </c>
      <c r="J459" s="4">
        <f>14.6157 * CHOOSE(CONTROL!$C$15, $D$11, 100%, $F$11)</f>
        <v>14.6157</v>
      </c>
      <c r="K459" s="4"/>
      <c r="L459" s="9">
        <v>28.360600000000002</v>
      </c>
      <c r="M459" s="9">
        <v>11.6745</v>
      </c>
      <c r="N459" s="9">
        <v>4.7850000000000001</v>
      </c>
      <c r="O459" s="9">
        <v>0.36199999999999999</v>
      </c>
      <c r="P459" s="9">
        <v>1.2509999999999999</v>
      </c>
      <c r="Q459" s="9">
        <v>19.3626</v>
      </c>
      <c r="R459" s="9"/>
      <c r="S459" s="11"/>
    </row>
    <row r="460" spans="1:19" ht="15.75">
      <c r="A460" s="13">
        <v>55518</v>
      </c>
      <c r="B460" s="8">
        <f>15.2238 * CHOOSE(CONTROL!$C$15, $D$11, 100%, $F$11)</f>
        <v>15.223800000000001</v>
      </c>
      <c r="C460" s="8">
        <f>15.2289 * CHOOSE(CONTROL!$C$15, $D$11, 100%, $F$11)</f>
        <v>15.228899999999999</v>
      </c>
      <c r="D460" s="8">
        <f>15.2167 * CHOOSE( CONTROL!$C$15, $D$11, 100%, $F$11)</f>
        <v>15.216699999999999</v>
      </c>
      <c r="E460" s="12">
        <f>15.2206 * CHOOSE( CONTROL!$C$15, $D$11, 100%, $F$11)</f>
        <v>15.220599999999999</v>
      </c>
      <c r="F460" s="4">
        <f>15.8742 * CHOOSE(CONTROL!$C$15, $D$11, 100%, $F$11)</f>
        <v>15.8742</v>
      </c>
      <c r="G460" s="8">
        <f>14.8653 * CHOOSE( CONTROL!$C$15, $D$11, 100%, $F$11)</f>
        <v>14.8653</v>
      </c>
      <c r="H460" s="4">
        <f>15.7392 * CHOOSE(CONTROL!$C$15, $D$11, 100%, $F$11)</f>
        <v>15.7392</v>
      </c>
      <c r="I460" s="8">
        <f>14.7598 * CHOOSE(CONTROL!$C$15, $D$11, 100%, $F$11)</f>
        <v>14.7598</v>
      </c>
      <c r="J460" s="4">
        <f>14.5891 * CHOOSE(CONTROL!$C$15, $D$11, 100%, $F$11)</f>
        <v>14.5891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20.007999999999999</v>
      </c>
      <c r="R460" s="9"/>
      <c r="S460" s="11"/>
    </row>
    <row r="461" spans="1:19" ht="15.75">
      <c r="A461" s="13">
        <v>55549</v>
      </c>
      <c r="B461" s="8">
        <f>15.8045 * CHOOSE(CONTROL!$C$15, $D$11, 100%, $F$11)</f>
        <v>15.804500000000001</v>
      </c>
      <c r="C461" s="8">
        <f>15.8097 * CHOOSE(CONTROL!$C$15, $D$11, 100%, $F$11)</f>
        <v>15.809699999999999</v>
      </c>
      <c r="D461" s="8">
        <f>15.7921 * CHOOSE( CONTROL!$C$15, $D$11, 100%, $F$11)</f>
        <v>15.7921</v>
      </c>
      <c r="E461" s="12">
        <f>15.798 * CHOOSE( CONTROL!$C$15, $D$11, 100%, $F$11)</f>
        <v>15.798</v>
      </c>
      <c r="F461" s="4">
        <f>16.455 * CHOOSE(CONTROL!$C$15, $D$11, 100%, $F$11)</f>
        <v>16.454999999999998</v>
      </c>
      <c r="G461" s="8">
        <f>15.4225 * CHOOSE( CONTROL!$C$15, $D$11, 100%, $F$11)</f>
        <v>15.422499999999999</v>
      </c>
      <c r="H461" s="4">
        <f>16.3064 * CHOOSE(CONTROL!$C$15, $D$11, 100%, $F$11)</f>
        <v>16.3064</v>
      </c>
      <c r="I461" s="8">
        <f>15.2775 * CHOOSE(CONTROL!$C$15, $D$11, 100%, $F$11)</f>
        <v>15.2775</v>
      </c>
      <c r="J461" s="4">
        <f>15.1467 * CHOOSE(CONTROL!$C$15, $D$11, 100%, $F$11)</f>
        <v>15.146699999999999</v>
      </c>
      <c r="K461" s="4"/>
      <c r="L461" s="9">
        <v>29.306000000000001</v>
      </c>
      <c r="M461" s="9">
        <v>12.063700000000001</v>
      </c>
      <c r="N461" s="9">
        <v>4.9444999999999997</v>
      </c>
      <c r="O461" s="9">
        <v>0.37409999999999999</v>
      </c>
      <c r="P461" s="9">
        <v>1.2927</v>
      </c>
      <c r="Q461" s="9">
        <v>19.942900000000002</v>
      </c>
      <c r="R461" s="9"/>
      <c r="S461" s="11"/>
    </row>
    <row r="462" spans="1:19" ht="15.75">
      <c r="A462" s="13">
        <v>55577</v>
      </c>
      <c r="B462" s="8">
        <f>14.7846 * CHOOSE(CONTROL!$C$15, $D$11, 100%, $F$11)</f>
        <v>14.784599999999999</v>
      </c>
      <c r="C462" s="8">
        <f>14.7898 * CHOOSE(CONTROL!$C$15, $D$11, 100%, $F$11)</f>
        <v>14.7898</v>
      </c>
      <c r="D462" s="8">
        <f>14.7722 * CHOOSE( CONTROL!$C$15, $D$11, 100%, $F$11)</f>
        <v>14.7722</v>
      </c>
      <c r="E462" s="12">
        <f>14.7781 * CHOOSE( CONTROL!$C$15, $D$11, 100%, $F$11)</f>
        <v>14.7781</v>
      </c>
      <c r="F462" s="4">
        <f>15.4351 * CHOOSE(CONTROL!$C$15, $D$11, 100%, $F$11)</f>
        <v>15.4351</v>
      </c>
      <c r="G462" s="8">
        <f>14.4263 * CHOOSE( CONTROL!$C$15, $D$11, 100%, $F$11)</f>
        <v>14.426299999999999</v>
      </c>
      <c r="H462" s="4">
        <f>15.3103 * CHOOSE(CONTROL!$C$15, $D$11, 100%, $F$11)</f>
        <v>15.3103</v>
      </c>
      <c r="I462" s="8">
        <f>14.2976 * CHOOSE(CONTROL!$C$15, $D$11, 100%, $F$11)</f>
        <v>14.297599999999999</v>
      </c>
      <c r="J462" s="4">
        <f>14.1675 * CHOOSE(CONTROL!$C$15, $D$11, 100%, $F$11)</f>
        <v>14.1675</v>
      </c>
      <c r="K462" s="4"/>
      <c r="L462" s="9">
        <v>27.415299999999998</v>
      </c>
      <c r="M462" s="9">
        <v>11.285299999999999</v>
      </c>
      <c r="N462" s="9">
        <v>4.6254999999999997</v>
      </c>
      <c r="O462" s="9">
        <v>0.34989999999999999</v>
      </c>
      <c r="P462" s="9">
        <v>1.2093</v>
      </c>
      <c r="Q462" s="9">
        <v>18.656300000000002</v>
      </c>
      <c r="R462" s="9"/>
      <c r="S462" s="11"/>
    </row>
    <row r="463" spans="1:19" ht="15.75">
      <c r="A463" s="13">
        <v>55609</v>
      </c>
      <c r="B463" s="8">
        <f>14.4705 * CHOOSE(CONTROL!$C$15, $D$11, 100%, $F$11)</f>
        <v>14.470499999999999</v>
      </c>
      <c r="C463" s="8">
        <f>14.4757 * CHOOSE(CONTROL!$C$15, $D$11, 100%, $F$11)</f>
        <v>14.4757</v>
      </c>
      <c r="D463" s="8">
        <f>14.4577 * CHOOSE( CONTROL!$C$15, $D$11, 100%, $F$11)</f>
        <v>14.457700000000001</v>
      </c>
      <c r="E463" s="12">
        <f>14.4637 * CHOOSE( CONTROL!$C$15, $D$11, 100%, $F$11)</f>
        <v>14.463699999999999</v>
      </c>
      <c r="F463" s="4">
        <f>15.1209 * CHOOSE(CONTROL!$C$15, $D$11, 100%, $F$11)</f>
        <v>15.120900000000001</v>
      </c>
      <c r="G463" s="8">
        <f>14.1192 * CHOOSE( CONTROL!$C$15, $D$11, 100%, $F$11)</f>
        <v>14.119199999999999</v>
      </c>
      <c r="H463" s="4">
        <f>15.0035 * CHOOSE(CONTROL!$C$15, $D$11, 100%, $F$11)</f>
        <v>15.003500000000001</v>
      </c>
      <c r="I463" s="8">
        <f>13.9947 * CHOOSE(CONTROL!$C$15, $D$11, 100%, $F$11)</f>
        <v>13.9947</v>
      </c>
      <c r="J463" s="4">
        <f>13.8659 * CHOOSE(CONTROL!$C$15, $D$11, 100%, $F$11)</f>
        <v>13.8659</v>
      </c>
      <c r="K463" s="4"/>
      <c r="L463" s="9">
        <v>29.306000000000001</v>
      </c>
      <c r="M463" s="9">
        <v>12.063700000000001</v>
      </c>
      <c r="N463" s="9">
        <v>4.9444999999999997</v>
      </c>
      <c r="O463" s="9">
        <v>0.37409999999999999</v>
      </c>
      <c r="P463" s="9">
        <v>1.2927</v>
      </c>
      <c r="Q463" s="9">
        <v>19.942900000000002</v>
      </c>
      <c r="R463" s="9"/>
      <c r="S463" s="11"/>
    </row>
    <row r="464" spans="1:19" ht="15.75">
      <c r="A464" s="13">
        <v>55639</v>
      </c>
      <c r="B464" s="8">
        <f>14.6908 * CHOOSE(CONTROL!$C$15, $D$11, 100%, $F$11)</f>
        <v>14.690799999999999</v>
      </c>
      <c r="C464" s="8">
        <f>14.6954 * CHOOSE(CONTROL!$C$15, $D$11, 100%, $F$11)</f>
        <v>14.695399999999999</v>
      </c>
      <c r="D464" s="8">
        <f>14.7265 * CHOOSE( CONTROL!$C$15, $D$11, 100%, $F$11)</f>
        <v>14.7265</v>
      </c>
      <c r="E464" s="12">
        <f>14.7157 * CHOOSE( CONTROL!$C$15, $D$11, 100%, $F$11)</f>
        <v>14.7157</v>
      </c>
      <c r="F464" s="4">
        <f>15.4045 * CHOOSE(CONTROL!$C$15, $D$11, 100%, $F$11)</f>
        <v>15.404500000000001</v>
      </c>
      <c r="G464" s="8">
        <f>14.3344 * CHOOSE( CONTROL!$C$15, $D$11, 100%, $F$11)</f>
        <v>14.3344</v>
      </c>
      <c r="H464" s="4">
        <f>15.2804 * CHOOSE(CONTROL!$C$15, $D$11, 100%, $F$11)</f>
        <v>15.2804</v>
      </c>
      <c r="I464" s="8">
        <f>14.196 * CHOOSE(CONTROL!$C$15, $D$11, 100%, $F$11)</f>
        <v>14.196</v>
      </c>
      <c r="J464" s="4">
        <f>14.0767 * CHOOSE(CONTROL!$C$15, $D$11, 100%, $F$11)</f>
        <v>14.076700000000001</v>
      </c>
      <c r="K464" s="4"/>
      <c r="L464" s="9">
        <v>30.092199999999998</v>
      </c>
      <c r="M464" s="9">
        <v>11.6745</v>
      </c>
      <c r="N464" s="9">
        <v>4.7850000000000001</v>
      </c>
      <c r="O464" s="9">
        <v>0.36199999999999999</v>
      </c>
      <c r="P464" s="9">
        <v>1.1791</v>
      </c>
      <c r="Q464" s="9">
        <v>19.299600000000002</v>
      </c>
      <c r="R464" s="9"/>
      <c r="S464" s="11"/>
    </row>
    <row r="465" spans="1:19" ht="15.75">
      <c r="A465" s="13">
        <v>55670</v>
      </c>
      <c r="B465" s="8">
        <f>CHOOSE( CONTROL!$C$32, 15.0884, 15.0828) * CHOOSE(CONTROL!$C$15, $D$11, 100%, $F$11)</f>
        <v>15.0884</v>
      </c>
      <c r="C465" s="8">
        <f>CHOOSE( CONTROL!$C$32, 15.0964, 15.0909) * CHOOSE(CONTROL!$C$15, $D$11, 100%, $F$11)</f>
        <v>15.096399999999999</v>
      </c>
      <c r="D465" s="8">
        <f>CHOOSE( CONTROL!$C$32, 15.1224, 15.1168) * CHOOSE( CONTROL!$C$15, $D$11, 100%, $F$11)</f>
        <v>15.122400000000001</v>
      </c>
      <c r="E465" s="12">
        <f>CHOOSE( CONTROL!$C$32, 15.1118, 15.1062) * CHOOSE( CONTROL!$C$15, $D$11, 100%, $F$11)</f>
        <v>15.111800000000001</v>
      </c>
      <c r="F465" s="4">
        <f>CHOOSE( CONTROL!$C$32, 15.8007, 15.7952) * CHOOSE(CONTROL!$C$15, $D$11, 100%, $F$11)</f>
        <v>15.800700000000001</v>
      </c>
      <c r="G465" s="8">
        <f>CHOOSE( CONTROL!$C$32, 14.7226, 14.7171) * CHOOSE( CONTROL!$C$15, $D$11, 100%, $F$11)</f>
        <v>14.7226</v>
      </c>
      <c r="H465" s="4">
        <f>CHOOSE( CONTROL!$C$32, 15.6674, 15.662) * CHOOSE(CONTROL!$C$15, $D$11, 100%, $F$11)</f>
        <v>15.667400000000001</v>
      </c>
      <c r="I465" s="8">
        <f>CHOOSE( CONTROL!$C$32, 14.5766, 14.5713) * CHOOSE(CONTROL!$C$15, $D$11, 100%, $F$11)</f>
        <v>14.576599999999999</v>
      </c>
      <c r="J465" s="4">
        <f>CHOOSE( CONTROL!$C$32, 14.4571, 14.4518) * CHOOSE(CONTROL!$C$15, $D$11, 100%, $F$11)</f>
        <v>14.457100000000001</v>
      </c>
      <c r="K465" s="4"/>
      <c r="L465" s="9">
        <v>30.7165</v>
      </c>
      <c r="M465" s="9">
        <v>12.063700000000001</v>
      </c>
      <c r="N465" s="9">
        <v>4.9444999999999997</v>
      </c>
      <c r="O465" s="9">
        <v>0.37409999999999999</v>
      </c>
      <c r="P465" s="9">
        <v>1.2183999999999999</v>
      </c>
      <c r="Q465" s="9">
        <v>19.942900000000002</v>
      </c>
      <c r="R465" s="9"/>
      <c r="S465" s="11"/>
    </row>
    <row r="466" spans="1:19" ht="15.75">
      <c r="A466" s="13">
        <v>55700</v>
      </c>
      <c r="B466" s="8">
        <f>CHOOSE( CONTROL!$C$32, 14.8463, 14.8408) * CHOOSE(CONTROL!$C$15, $D$11, 100%, $F$11)</f>
        <v>14.846299999999999</v>
      </c>
      <c r="C466" s="8">
        <f>CHOOSE( CONTROL!$C$32, 14.8544, 14.8489) * CHOOSE(CONTROL!$C$15, $D$11, 100%, $F$11)</f>
        <v>14.8544</v>
      </c>
      <c r="D466" s="8">
        <f>CHOOSE( CONTROL!$C$32, 14.8806, 14.875) * CHOOSE( CONTROL!$C$15, $D$11, 100%, $F$11)</f>
        <v>14.880599999999999</v>
      </c>
      <c r="E466" s="12">
        <f>CHOOSE( CONTROL!$C$32, 14.8699, 14.8643) * CHOOSE( CONTROL!$C$15, $D$11, 100%, $F$11)</f>
        <v>14.869899999999999</v>
      </c>
      <c r="F466" s="4">
        <f>CHOOSE( CONTROL!$C$32, 15.5587, 15.5532) * CHOOSE(CONTROL!$C$15, $D$11, 100%, $F$11)</f>
        <v>15.5587</v>
      </c>
      <c r="G466" s="8">
        <f>CHOOSE( CONTROL!$C$32, 14.4864, 14.481) * CHOOSE( CONTROL!$C$15, $D$11, 100%, $F$11)</f>
        <v>14.4864</v>
      </c>
      <c r="H466" s="4">
        <f>CHOOSE( CONTROL!$C$32, 15.431, 15.4256) * CHOOSE(CONTROL!$C$15, $D$11, 100%, $F$11)</f>
        <v>15.430999999999999</v>
      </c>
      <c r="I466" s="8">
        <f>CHOOSE( CONTROL!$C$32, 14.3449, 14.3396) * CHOOSE(CONTROL!$C$15, $D$11, 100%, $F$11)</f>
        <v>14.344900000000001</v>
      </c>
      <c r="J466" s="4">
        <f>CHOOSE( CONTROL!$C$32, 14.2248, 14.2194) * CHOOSE(CONTROL!$C$15, $D$11, 100%, $F$11)</f>
        <v>14.2248</v>
      </c>
      <c r="K466" s="4"/>
      <c r="L466" s="9">
        <v>29.7257</v>
      </c>
      <c r="M466" s="9">
        <v>11.6745</v>
      </c>
      <c r="N466" s="9">
        <v>4.7850000000000001</v>
      </c>
      <c r="O466" s="9">
        <v>0.36199999999999999</v>
      </c>
      <c r="P466" s="9">
        <v>1.1791</v>
      </c>
      <c r="Q466" s="9">
        <v>19.299600000000002</v>
      </c>
      <c r="R466" s="9"/>
      <c r="S466" s="11"/>
    </row>
    <row r="467" spans="1:19" ht="15.75">
      <c r="A467" s="13">
        <v>55731</v>
      </c>
      <c r="B467" s="8">
        <f>CHOOSE( CONTROL!$C$32, 15.4836, 15.4781) * CHOOSE(CONTROL!$C$15, $D$11, 100%, $F$11)</f>
        <v>15.483599999999999</v>
      </c>
      <c r="C467" s="8">
        <f>CHOOSE( CONTROL!$C$32, 15.4917, 15.4862) * CHOOSE(CONTROL!$C$15, $D$11, 100%, $F$11)</f>
        <v>15.4917</v>
      </c>
      <c r="D467" s="8">
        <f>CHOOSE( CONTROL!$C$32, 15.5181, 15.5125) * CHOOSE( CONTROL!$C$15, $D$11, 100%, $F$11)</f>
        <v>15.5181</v>
      </c>
      <c r="E467" s="12">
        <f>CHOOSE( CONTROL!$C$32, 15.5073, 15.5017) * CHOOSE( CONTROL!$C$15, $D$11, 100%, $F$11)</f>
        <v>15.507300000000001</v>
      </c>
      <c r="F467" s="4">
        <f>CHOOSE( CONTROL!$C$32, 16.196, 16.1905) * CHOOSE(CONTROL!$C$15, $D$11, 100%, $F$11)</f>
        <v>16.196000000000002</v>
      </c>
      <c r="G467" s="8">
        <f>CHOOSE( CONTROL!$C$32, 15.1092, 15.1037) * CHOOSE( CONTROL!$C$15, $D$11, 100%, $F$11)</f>
        <v>15.1092</v>
      </c>
      <c r="H467" s="4">
        <f>CHOOSE( CONTROL!$C$32, 16.0535, 16.0481) * CHOOSE(CONTROL!$C$15, $D$11, 100%, $F$11)</f>
        <v>16.0535</v>
      </c>
      <c r="I467" s="8">
        <f>CHOOSE( CONTROL!$C$32, 14.9581, 14.9527) * CHOOSE(CONTROL!$C$15, $D$11, 100%, $F$11)</f>
        <v>14.9581</v>
      </c>
      <c r="J467" s="4">
        <f>CHOOSE( CONTROL!$C$32, 14.8366, 14.8313) * CHOOSE(CONTROL!$C$15, $D$11, 100%, $F$11)</f>
        <v>14.836600000000001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1.2183999999999999</v>
      </c>
      <c r="Q467" s="9">
        <v>19.942900000000002</v>
      </c>
      <c r="R467" s="9"/>
      <c r="S467" s="11"/>
    </row>
    <row r="468" spans="1:19" ht="15.75">
      <c r="A468" s="13">
        <v>55762</v>
      </c>
      <c r="B468" s="8">
        <f>CHOOSE( CONTROL!$C$32, 14.2912, 14.2856) * CHOOSE(CONTROL!$C$15, $D$11, 100%, $F$11)</f>
        <v>14.2912</v>
      </c>
      <c r="C468" s="8">
        <f>CHOOSE( CONTROL!$C$32, 14.2993, 14.2937) * CHOOSE(CONTROL!$C$15, $D$11, 100%, $F$11)</f>
        <v>14.299300000000001</v>
      </c>
      <c r="D468" s="8">
        <f>CHOOSE( CONTROL!$C$32, 14.3257, 14.3201) * CHOOSE( CONTROL!$C$15, $D$11, 100%, $F$11)</f>
        <v>14.325699999999999</v>
      </c>
      <c r="E468" s="12">
        <f>CHOOSE( CONTROL!$C$32, 14.3149, 14.3093) * CHOOSE( CONTROL!$C$15, $D$11, 100%, $F$11)</f>
        <v>14.3149</v>
      </c>
      <c r="F468" s="4">
        <f>CHOOSE( CONTROL!$C$32, 15.0036, 14.998) * CHOOSE(CONTROL!$C$15, $D$11, 100%, $F$11)</f>
        <v>15.0036</v>
      </c>
      <c r="G468" s="8">
        <f>CHOOSE( CONTROL!$C$32, 13.9446, 13.9392) * CHOOSE( CONTROL!$C$15, $D$11, 100%, $F$11)</f>
        <v>13.944599999999999</v>
      </c>
      <c r="H468" s="4">
        <f>CHOOSE( CONTROL!$C$32, 14.8888, 14.8834) * CHOOSE(CONTROL!$C$15, $D$11, 100%, $F$11)</f>
        <v>14.8888</v>
      </c>
      <c r="I468" s="8">
        <f>CHOOSE( CONTROL!$C$32, 13.8129, 13.8076) * CHOOSE(CONTROL!$C$15, $D$11, 100%, $F$11)</f>
        <v>13.812900000000001</v>
      </c>
      <c r="J468" s="4">
        <f>CHOOSE( CONTROL!$C$32, 13.6918, 13.6864) * CHOOSE(CONTROL!$C$15, $D$11, 100%, $F$11)</f>
        <v>13.691800000000001</v>
      </c>
      <c r="K468" s="4"/>
      <c r="L468" s="9">
        <v>30.7165</v>
      </c>
      <c r="M468" s="9">
        <v>12.063700000000001</v>
      </c>
      <c r="N468" s="9">
        <v>4.9444999999999997</v>
      </c>
      <c r="O468" s="9">
        <v>0.37409999999999999</v>
      </c>
      <c r="P468" s="9">
        <v>1.2183999999999999</v>
      </c>
      <c r="Q468" s="9">
        <v>19.942900000000002</v>
      </c>
      <c r="R468" s="9"/>
      <c r="S468" s="11"/>
    </row>
    <row r="469" spans="1:19" ht="15.75">
      <c r="A469" s="13">
        <v>55792</v>
      </c>
      <c r="B469" s="8">
        <f>CHOOSE( CONTROL!$C$32, 13.9926, 13.987) * CHOOSE(CONTROL!$C$15, $D$11, 100%, $F$11)</f>
        <v>13.992599999999999</v>
      </c>
      <c r="C469" s="8">
        <f>CHOOSE( CONTROL!$C$32, 14.0007, 13.9951) * CHOOSE(CONTROL!$C$15, $D$11, 100%, $F$11)</f>
        <v>14.0007</v>
      </c>
      <c r="D469" s="8">
        <f>CHOOSE( CONTROL!$C$32, 14.027, 14.0215) * CHOOSE( CONTROL!$C$15, $D$11, 100%, $F$11)</f>
        <v>14.026999999999999</v>
      </c>
      <c r="E469" s="12">
        <f>CHOOSE( CONTROL!$C$32, 14.0162, 14.0107) * CHOOSE( CONTROL!$C$15, $D$11, 100%, $F$11)</f>
        <v>14.0162</v>
      </c>
      <c r="F469" s="4">
        <f>CHOOSE( CONTROL!$C$32, 14.705, 14.6994) * CHOOSE(CONTROL!$C$15, $D$11, 100%, $F$11)</f>
        <v>14.705</v>
      </c>
      <c r="G469" s="8">
        <f>CHOOSE( CONTROL!$C$32, 13.6529, 13.6474) * CHOOSE( CONTROL!$C$15, $D$11, 100%, $F$11)</f>
        <v>13.652900000000001</v>
      </c>
      <c r="H469" s="4">
        <f>CHOOSE( CONTROL!$C$32, 14.5972, 14.5917) * CHOOSE(CONTROL!$C$15, $D$11, 100%, $F$11)</f>
        <v>14.597200000000001</v>
      </c>
      <c r="I469" s="8">
        <f>CHOOSE( CONTROL!$C$32, 13.5259, 13.5205) * CHOOSE(CONTROL!$C$15, $D$11, 100%, $F$11)</f>
        <v>13.5259</v>
      </c>
      <c r="J469" s="4">
        <f>CHOOSE( CONTROL!$C$32, 13.4051, 13.3997) * CHOOSE(CONTROL!$C$15, $D$11, 100%, $F$11)</f>
        <v>13.405099999999999</v>
      </c>
      <c r="K469" s="4"/>
      <c r="L469" s="9">
        <v>29.7257</v>
      </c>
      <c r="M469" s="9">
        <v>11.6745</v>
      </c>
      <c r="N469" s="9">
        <v>4.7850000000000001</v>
      </c>
      <c r="O469" s="9">
        <v>0.36199999999999999</v>
      </c>
      <c r="P469" s="9">
        <v>1.1791</v>
      </c>
      <c r="Q469" s="9">
        <v>19.299600000000002</v>
      </c>
      <c r="R469" s="9"/>
      <c r="S469" s="11"/>
    </row>
    <row r="470" spans="1:19" ht="15.75">
      <c r="A470" s="13">
        <v>55823</v>
      </c>
      <c r="B470" s="8">
        <f>14.6053 * CHOOSE(CONTROL!$C$15, $D$11, 100%, $F$11)</f>
        <v>14.6053</v>
      </c>
      <c r="C470" s="8">
        <f>14.6107 * CHOOSE(CONTROL!$C$15, $D$11, 100%, $F$11)</f>
        <v>14.6107</v>
      </c>
      <c r="D470" s="8">
        <f>14.6419 * CHOOSE( CONTROL!$C$15, $D$11, 100%, $F$11)</f>
        <v>14.6419</v>
      </c>
      <c r="E470" s="12">
        <f>14.631 * CHOOSE( CONTROL!$C$15, $D$11, 100%, $F$11)</f>
        <v>14.631</v>
      </c>
      <c r="F470" s="4">
        <f>15.3194 * CHOOSE(CONTROL!$C$15, $D$11, 100%, $F$11)</f>
        <v>15.3194</v>
      </c>
      <c r="G470" s="8">
        <f>14.2521 * CHOOSE( CONTROL!$C$15, $D$11, 100%, $F$11)</f>
        <v>14.2521</v>
      </c>
      <c r="H470" s="4">
        <f>15.1973 * CHOOSE(CONTROL!$C$15, $D$11, 100%, $F$11)</f>
        <v>15.1973</v>
      </c>
      <c r="I470" s="8">
        <f>14.1169 * CHOOSE(CONTROL!$C$15, $D$11, 100%, $F$11)</f>
        <v>14.116899999999999</v>
      </c>
      <c r="J470" s="4">
        <f>13.995 * CHOOSE(CONTROL!$C$15, $D$11, 100%, $F$11)</f>
        <v>13.994999999999999</v>
      </c>
      <c r="K470" s="4"/>
      <c r="L470" s="9">
        <v>31.095300000000002</v>
      </c>
      <c r="M470" s="9">
        <v>12.063700000000001</v>
      </c>
      <c r="N470" s="9">
        <v>4.9444999999999997</v>
      </c>
      <c r="O470" s="9">
        <v>0.37409999999999999</v>
      </c>
      <c r="P470" s="9">
        <v>1.2183999999999999</v>
      </c>
      <c r="Q470" s="9">
        <v>19.942900000000002</v>
      </c>
      <c r="R470" s="9"/>
      <c r="S470" s="11"/>
    </row>
    <row r="471" spans="1:19" ht="15.75">
      <c r="A471" s="13">
        <v>55853</v>
      </c>
      <c r="B471" s="8">
        <f>15.7493 * CHOOSE(CONTROL!$C$15, $D$11, 100%, $F$11)</f>
        <v>15.7493</v>
      </c>
      <c r="C471" s="8">
        <f>15.7545 * CHOOSE(CONTROL!$C$15, $D$11, 100%, $F$11)</f>
        <v>15.7545</v>
      </c>
      <c r="D471" s="8">
        <f>15.7407 * CHOOSE( CONTROL!$C$15, $D$11, 100%, $F$11)</f>
        <v>15.7407</v>
      </c>
      <c r="E471" s="12">
        <f>15.7452 * CHOOSE( CONTROL!$C$15, $D$11, 100%, $F$11)</f>
        <v>15.745200000000001</v>
      </c>
      <c r="F471" s="4">
        <f>16.3998 * CHOOSE(CONTROL!$C$15, $D$11, 100%, $F$11)</f>
        <v>16.399799999999999</v>
      </c>
      <c r="G471" s="8">
        <f>15.3775 * CHOOSE( CONTROL!$C$15, $D$11, 100%, $F$11)</f>
        <v>15.3775</v>
      </c>
      <c r="H471" s="4">
        <f>16.2525 * CHOOSE(CONTROL!$C$15, $D$11, 100%, $F$11)</f>
        <v>16.252500000000001</v>
      </c>
      <c r="I471" s="8">
        <f>15.2598 * CHOOSE(CONTROL!$C$15, $D$11, 100%, $F$11)</f>
        <v>15.2598</v>
      </c>
      <c r="J471" s="4">
        <f>15.0937 * CHOOSE(CONTROL!$C$15, $D$11, 100%, $F$11)</f>
        <v>15.0937</v>
      </c>
      <c r="K471" s="4"/>
      <c r="L471" s="9">
        <v>28.360600000000002</v>
      </c>
      <c r="M471" s="9">
        <v>11.6745</v>
      </c>
      <c r="N471" s="9">
        <v>4.7850000000000001</v>
      </c>
      <c r="O471" s="9">
        <v>0.36199999999999999</v>
      </c>
      <c r="P471" s="9">
        <v>1.2509999999999999</v>
      </c>
      <c r="Q471" s="9">
        <v>19.299600000000002</v>
      </c>
      <c r="R471" s="9"/>
      <c r="S471" s="11"/>
    </row>
    <row r="472" spans="1:19" ht="15.75">
      <c r="A472" s="13">
        <v>55884</v>
      </c>
      <c r="B472" s="8">
        <f>15.7207 * CHOOSE(CONTROL!$C$15, $D$11, 100%, $F$11)</f>
        <v>15.720700000000001</v>
      </c>
      <c r="C472" s="8">
        <f>15.7259 * CHOOSE(CONTROL!$C$15, $D$11, 100%, $F$11)</f>
        <v>15.725899999999999</v>
      </c>
      <c r="D472" s="8">
        <f>15.7136 * CHOOSE( CONTROL!$C$15, $D$11, 100%, $F$11)</f>
        <v>15.7136</v>
      </c>
      <c r="E472" s="12">
        <f>15.7175 * CHOOSE( CONTROL!$C$15, $D$11, 100%, $F$11)</f>
        <v>15.717499999999999</v>
      </c>
      <c r="F472" s="4">
        <f>16.3712 * CHOOSE(CONTROL!$C$15, $D$11, 100%, $F$11)</f>
        <v>16.371200000000002</v>
      </c>
      <c r="G472" s="8">
        <f>15.3506 * CHOOSE( CONTROL!$C$15, $D$11, 100%, $F$11)</f>
        <v>15.3506</v>
      </c>
      <c r="H472" s="4">
        <f>16.2245 * CHOOSE(CONTROL!$C$15, $D$11, 100%, $F$11)</f>
        <v>16.224499999999999</v>
      </c>
      <c r="I472" s="8">
        <f>15.2371 * CHOOSE(CONTROL!$C$15, $D$11, 100%, $F$11)</f>
        <v>15.2371</v>
      </c>
      <c r="J472" s="4">
        <f>15.0663 * CHOOSE(CONTROL!$C$15, $D$11, 100%, $F$11)</f>
        <v>15.0663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19.942900000000002</v>
      </c>
      <c r="R472" s="9"/>
      <c r="S472" s="11"/>
    </row>
    <row r="473" spans="1:19" ht="15.75">
      <c r="A473" s="13">
        <v>55915</v>
      </c>
      <c r="B473" s="8">
        <f>16.3205 * CHOOSE(CONTROL!$C$15, $D$11, 100%, $F$11)</f>
        <v>16.320499999999999</v>
      </c>
      <c r="C473" s="8">
        <f>16.3256 * CHOOSE(CONTROL!$C$15, $D$11, 100%, $F$11)</f>
        <v>16.325600000000001</v>
      </c>
      <c r="D473" s="8">
        <f>16.3081 * CHOOSE( CONTROL!$C$15, $D$11, 100%, $F$11)</f>
        <v>16.3081</v>
      </c>
      <c r="E473" s="12">
        <f>16.314 * CHOOSE( CONTROL!$C$15, $D$11, 100%, $F$11)</f>
        <v>16.314</v>
      </c>
      <c r="F473" s="4">
        <f>16.9709 * CHOOSE(CONTROL!$C$15, $D$11, 100%, $F$11)</f>
        <v>16.9709</v>
      </c>
      <c r="G473" s="8">
        <f>15.9264 * CHOOSE( CONTROL!$C$15, $D$11, 100%, $F$11)</f>
        <v>15.926399999999999</v>
      </c>
      <c r="H473" s="4">
        <f>16.8103 * CHOOSE(CONTROL!$C$15, $D$11, 100%, $F$11)</f>
        <v>16.810300000000002</v>
      </c>
      <c r="I473" s="8">
        <f>15.7731 * CHOOSE(CONTROL!$C$15, $D$11, 100%, $F$11)</f>
        <v>15.773099999999999</v>
      </c>
      <c r="J473" s="4">
        <f>15.6421 * CHOOSE(CONTROL!$C$15, $D$11, 100%, $F$11)</f>
        <v>15.642099999999999</v>
      </c>
      <c r="K473" s="4"/>
      <c r="L473" s="9">
        <v>29.306000000000001</v>
      </c>
      <c r="M473" s="9">
        <v>12.063700000000001</v>
      </c>
      <c r="N473" s="9">
        <v>4.9444999999999997</v>
      </c>
      <c r="O473" s="9">
        <v>0.37409999999999999</v>
      </c>
      <c r="P473" s="9">
        <v>1.2927</v>
      </c>
      <c r="Q473" s="9">
        <v>19.877800000000001</v>
      </c>
      <c r="R473" s="9"/>
      <c r="S473" s="11"/>
    </row>
    <row r="474" spans="1:19" ht="15.75">
      <c r="A474" s="13">
        <v>55943</v>
      </c>
      <c r="B474" s="8">
        <f>15.2672 * CHOOSE(CONTROL!$C$15, $D$11, 100%, $F$11)</f>
        <v>15.267200000000001</v>
      </c>
      <c r="C474" s="8">
        <f>15.2724 * CHOOSE(CONTROL!$C$15, $D$11, 100%, $F$11)</f>
        <v>15.272399999999999</v>
      </c>
      <c r="D474" s="8">
        <f>15.2548 * CHOOSE( CONTROL!$C$15, $D$11, 100%, $F$11)</f>
        <v>15.254799999999999</v>
      </c>
      <c r="E474" s="12">
        <f>15.2607 * CHOOSE( CONTROL!$C$15, $D$11, 100%, $F$11)</f>
        <v>15.2607</v>
      </c>
      <c r="F474" s="4">
        <f>15.9177 * CHOOSE(CONTROL!$C$15, $D$11, 100%, $F$11)</f>
        <v>15.9177</v>
      </c>
      <c r="G474" s="8">
        <f>14.8976 * CHOOSE( CONTROL!$C$15, $D$11, 100%, $F$11)</f>
        <v>14.897600000000001</v>
      </c>
      <c r="H474" s="4">
        <f>15.7816 * CHOOSE(CONTROL!$C$15, $D$11, 100%, $F$11)</f>
        <v>15.781599999999999</v>
      </c>
      <c r="I474" s="8">
        <f>14.7612 * CHOOSE(CONTROL!$C$15, $D$11, 100%, $F$11)</f>
        <v>14.761200000000001</v>
      </c>
      <c r="J474" s="4">
        <f>14.6309 * CHOOSE(CONTROL!$C$15, $D$11, 100%, $F$11)</f>
        <v>14.6309</v>
      </c>
      <c r="K474" s="4"/>
      <c r="L474" s="9">
        <v>26.469899999999999</v>
      </c>
      <c r="M474" s="9">
        <v>10.8962</v>
      </c>
      <c r="N474" s="9">
        <v>4.4660000000000002</v>
      </c>
      <c r="O474" s="9">
        <v>0.33789999999999998</v>
      </c>
      <c r="P474" s="9">
        <v>1.1676</v>
      </c>
      <c r="Q474" s="9">
        <v>17.9542</v>
      </c>
      <c r="R474" s="9"/>
      <c r="S474" s="11"/>
    </row>
    <row r="475" spans="1:19" ht="15.75">
      <c r="A475" s="13">
        <v>55974</v>
      </c>
      <c r="B475" s="8">
        <f>14.9428 * CHOOSE(CONTROL!$C$15, $D$11, 100%, $F$11)</f>
        <v>14.9428</v>
      </c>
      <c r="C475" s="8">
        <f>14.948 * CHOOSE(CONTROL!$C$15, $D$11, 100%, $F$11)</f>
        <v>14.948</v>
      </c>
      <c r="D475" s="8">
        <f>14.93 * CHOOSE( CONTROL!$C$15, $D$11, 100%, $F$11)</f>
        <v>14.93</v>
      </c>
      <c r="E475" s="12">
        <f>14.936 * CHOOSE( CONTROL!$C$15, $D$11, 100%, $F$11)</f>
        <v>14.936</v>
      </c>
      <c r="F475" s="4">
        <f>15.5933 * CHOOSE(CONTROL!$C$15, $D$11, 100%, $F$11)</f>
        <v>15.593299999999999</v>
      </c>
      <c r="G475" s="8">
        <f>14.5805 * CHOOSE( CONTROL!$C$15, $D$11, 100%, $F$11)</f>
        <v>14.580500000000001</v>
      </c>
      <c r="H475" s="4">
        <f>15.4648 * CHOOSE(CONTROL!$C$15, $D$11, 100%, $F$11)</f>
        <v>15.4648</v>
      </c>
      <c r="I475" s="8">
        <f>14.4484 * CHOOSE(CONTROL!$C$15, $D$11, 100%, $F$11)</f>
        <v>14.448399999999999</v>
      </c>
      <c r="J475" s="4">
        <f>14.3194 * CHOOSE(CONTROL!$C$15, $D$11, 100%, $F$11)</f>
        <v>14.3194</v>
      </c>
      <c r="K475" s="4"/>
      <c r="L475" s="9">
        <v>29.306000000000001</v>
      </c>
      <c r="M475" s="9">
        <v>12.063700000000001</v>
      </c>
      <c r="N475" s="9">
        <v>4.9444999999999997</v>
      </c>
      <c r="O475" s="9">
        <v>0.37409999999999999</v>
      </c>
      <c r="P475" s="9">
        <v>1.2927</v>
      </c>
      <c r="Q475" s="9">
        <v>19.877800000000001</v>
      </c>
      <c r="R475" s="9"/>
      <c r="S475" s="11"/>
    </row>
    <row r="476" spans="1:19" ht="15.75">
      <c r="A476" s="13">
        <v>56004</v>
      </c>
      <c r="B476" s="8">
        <f>15.1702 * CHOOSE(CONTROL!$C$15, $D$11, 100%, $F$11)</f>
        <v>15.170199999999999</v>
      </c>
      <c r="C476" s="8">
        <f>15.1749 * CHOOSE(CONTROL!$C$15, $D$11, 100%, $F$11)</f>
        <v>15.174899999999999</v>
      </c>
      <c r="D476" s="8">
        <f>15.206 * CHOOSE( CONTROL!$C$15, $D$11, 100%, $F$11)</f>
        <v>15.206</v>
      </c>
      <c r="E476" s="12">
        <f>15.1952 * CHOOSE( CONTROL!$C$15, $D$11, 100%, $F$11)</f>
        <v>15.1952</v>
      </c>
      <c r="F476" s="4">
        <f>15.884 * CHOOSE(CONTROL!$C$15, $D$11, 100%, $F$11)</f>
        <v>15.884</v>
      </c>
      <c r="G476" s="8">
        <f>14.8027 * CHOOSE( CONTROL!$C$15, $D$11, 100%, $F$11)</f>
        <v>14.8027</v>
      </c>
      <c r="H476" s="4">
        <f>15.7487 * CHOOSE(CONTROL!$C$15, $D$11, 100%, $F$11)</f>
        <v>15.748699999999999</v>
      </c>
      <c r="I476" s="8">
        <f>14.6566 * CHOOSE(CONTROL!$C$15, $D$11, 100%, $F$11)</f>
        <v>14.656599999999999</v>
      </c>
      <c r="J476" s="4">
        <f>14.537 * CHOOSE(CONTROL!$C$15, $D$11, 100%, $F$11)</f>
        <v>14.537000000000001</v>
      </c>
      <c r="K476" s="4"/>
      <c r="L476" s="9">
        <v>30.092199999999998</v>
      </c>
      <c r="M476" s="9">
        <v>11.6745</v>
      </c>
      <c r="N476" s="9">
        <v>4.7850000000000001</v>
      </c>
      <c r="O476" s="9">
        <v>0.36199999999999999</v>
      </c>
      <c r="P476" s="9">
        <v>1.1791</v>
      </c>
      <c r="Q476" s="9">
        <v>19.236599999999999</v>
      </c>
      <c r="R476" s="9"/>
      <c r="S476" s="11"/>
    </row>
    <row r="477" spans="1:19" ht="15.75">
      <c r="A477" s="13">
        <v>56035</v>
      </c>
      <c r="B477" s="8">
        <f>CHOOSE( CONTROL!$C$32, 15.5806, 15.5751) * CHOOSE(CONTROL!$C$15, $D$11, 100%, $F$11)</f>
        <v>15.5806</v>
      </c>
      <c r="C477" s="8">
        <f>CHOOSE( CONTROL!$C$32, 15.5887, 15.5831) * CHOOSE(CONTROL!$C$15, $D$11, 100%, $F$11)</f>
        <v>15.588699999999999</v>
      </c>
      <c r="D477" s="8">
        <f>CHOOSE( CONTROL!$C$32, 15.6147, 15.6091) * CHOOSE( CONTROL!$C$15, $D$11, 100%, $F$11)</f>
        <v>15.614699999999999</v>
      </c>
      <c r="E477" s="12">
        <f>CHOOSE( CONTROL!$C$32, 15.604, 15.5985) * CHOOSE( CONTROL!$C$15, $D$11, 100%, $F$11)</f>
        <v>15.603999999999999</v>
      </c>
      <c r="F477" s="4">
        <f>CHOOSE( CONTROL!$C$32, 16.293, 16.2874) * CHOOSE(CONTROL!$C$15, $D$11, 100%, $F$11)</f>
        <v>16.292999999999999</v>
      </c>
      <c r="G477" s="8">
        <f>CHOOSE( CONTROL!$C$32, 15.2034, 15.1979) * CHOOSE( CONTROL!$C$15, $D$11, 100%, $F$11)</f>
        <v>15.2034</v>
      </c>
      <c r="H477" s="4">
        <f>CHOOSE( CONTROL!$C$32, 16.1482, 16.1428) * CHOOSE(CONTROL!$C$15, $D$11, 100%, $F$11)</f>
        <v>16.148199999999999</v>
      </c>
      <c r="I477" s="8">
        <f>CHOOSE( CONTROL!$C$32, 15.0495, 15.0441) * CHOOSE(CONTROL!$C$15, $D$11, 100%, $F$11)</f>
        <v>15.0495</v>
      </c>
      <c r="J477" s="4">
        <f>CHOOSE( CONTROL!$C$32, 14.9297, 14.9244) * CHOOSE(CONTROL!$C$15, $D$11, 100%, $F$11)</f>
        <v>14.9297</v>
      </c>
      <c r="K477" s="4"/>
      <c r="L477" s="9">
        <v>30.7165</v>
      </c>
      <c r="M477" s="9">
        <v>12.063700000000001</v>
      </c>
      <c r="N477" s="9">
        <v>4.9444999999999997</v>
      </c>
      <c r="O477" s="9">
        <v>0.37409999999999999</v>
      </c>
      <c r="P477" s="9">
        <v>1.2183999999999999</v>
      </c>
      <c r="Q477" s="9">
        <v>19.877800000000001</v>
      </c>
      <c r="R477" s="9"/>
      <c r="S477" s="11"/>
    </row>
    <row r="478" spans="1:19" ht="15.75">
      <c r="A478" s="13">
        <v>56065</v>
      </c>
      <c r="B478" s="8">
        <f>CHOOSE( CONTROL!$C$32, 15.3307, 15.3251) * CHOOSE(CONTROL!$C$15, $D$11, 100%, $F$11)</f>
        <v>15.3307</v>
      </c>
      <c r="C478" s="8">
        <f>CHOOSE( CONTROL!$C$32, 15.3388, 15.3332) * CHOOSE(CONTROL!$C$15, $D$11, 100%, $F$11)</f>
        <v>15.338800000000001</v>
      </c>
      <c r="D478" s="8">
        <f>CHOOSE( CONTROL!$C$32, 15.3649, 15.3594) * CHOOSE( CONTROL!$C$15, $D$11, 100%, $F$11)</f>
        <v>15.3649</v>
      </c>
      <c r="E478" s="12">
        <f>CHOOSE( CONTROL!$C$32, 15.3542, 15.3487) * CHOOSE( CONTROL!$C$15, $D$11, 100%, $F$11)</f>
        <v>15.354200000000001</v>
      </c>
      <c r="F478" s="4">
        <f>CHOOSE( CONTROL!$C$32, 16.0431, 16.0375) * CHOOSE(CONTROL!$C$15, $D$11, 100%, $F$11)</f>
        <v>16.043099999999999</v>
      </c>
      <c r="G478" s="8">
        <f>CHOOSE( CONTROL!$C$32, 14.9595, 14.9541) * CHOOSE( CONTROL!$C$15, $D$11, 100%, $F$11)</f>
        <v>14.9595</v>
      </c>
      <c r="H478" s="4">
        <f>CHOOSE( CONTROL!$C$32, 15.9041, 15.8987) * CHOOSE(CONTROL!$C$15, $D$11, 100%, $F$11)</f>
        <v>15.9041</v>
      </c>
      <c r="I478" s="8">
        <f>CHOOSE( CONTROL!$C$32, 14.8102, 14.8049) * CHOOSE(CONTROL!$C$15, $D$11, 100%, $F$11)</f>
        <v>14.8102</v>
      </c>
      <c r="J478" s="4">
        <f>CHOOSE( CONTROL!$C$32, 14.6898, 14.6844) * CHOOSE(CONTROL!$C$15, $D$11, 100%, $F$11)</f>
        <v>14.6898</v>
      </c>
      <c r="K478" s="4"/>
      <c r="L478" s="9">
        <v>29.7257</v>
      </c>
      <c r="M478" s="9">
        <v>11.6745</v>
      </c>
      <c r="N478" s="9">
        <v>4.7850000000000001</v>
      </c>
      <c r="O478" s="9">
        <v>0.36199999999999999</v>
      </c>
      <c r="P478" s="9">
        <v>1.1791</v>
      </c>
      <c r="Q478" s="9">
        <v>19.236599999999999</v>
      </c>
      <c r="R478" s="9"/>
      <c r="S478" s="11"/>
    </row>
    <row r="479" spans="1:19" ht="15.75">
      <c r="A479" s="13">
        <v>56096</v>
      </c>
      <c r="B479" s="8">
        <f>CHOOSE( CONTROL!$C$32, 15.9888, 15.9833) * CHOOSE(CONTROL!$C$15, $D$11, 100%, $F$11)</f>
        <v>15.988799999999999</v>
      </c>
      <c r="C479" s="8">
        <f>CHOOSE( CONTROL!$C$32, 15.9969, 15.9914) * CHOOSE(CONTROL!$C$15, $D$11, 100%, $F$11)</f>
        <v>15.9969</v>
      </c>
      <c r="D479" s="8">
        <f>CHOOSE( CONTROL!$C$32, 16.0233, 16.0177) * CHOOSE( CONTROL!$C$15, $D$11, 100%, $F$11)</f>
        <v>16.023299999999999</v>
      </c>
      <c r="E479" s="12">
        <f>CHOOSE( CONTROL!$C$32, 16.0125, 16.0069) * CHOOSE( CONTROL!$C$15, $D$11, 100%, $F$11)</f>
        <v>16.012499999999999</v>
      </c>
      <c r="F479" s="4">
        <f>CHOOSE( CONTROL!$C$32, 16.7012, 16.6957) * CHOOSE(CONTROL!$C$15, $D$11, 100%, $F$11)</f>
        <v>16.7012</v>
      </c>
      <c r="G479" s="8">
        <f>CHOOSE( CONTROL!$C$32, 15.6026, 15.5972) * CHOOSE( CONTROL!$C$15, $D$11, 100%, $F$11)</f>
        <v>15.602600000000001</v>
      </c>
      <c r="H479" s="4">
        <f>CHOOSE( CONTROL!$C$32, 16.5469, 16.5415) * CHOOSE(CONTROL!$C$15, $D$11, 100%, $F$11)</f>
        <v>16.546900000000001</v>
      </c>
      <c r="I479" s="8">
        <f>CHOOSE( CONTROL!$C$32, 15.4433, 15.438) * CHOOSE(CONTROL!$C$15, $D$11, 100%, $F$11)</f>
        <v>15.443300000000001</v>
      </c>
      <c r="J479" s="4">
        <f>CHOOSE( CONTROL!$C$32, 15.3217, 15.3163) * CHOOSE(CONTROL!$C$15, $D$11, 100%, $F$11)</f>
        <v>15.3217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1.2183999999999999</v>
      </c>
      <c r="Q479" s="9">
        <v>19.877800000000001</v>
      </c>
      <c r="R479" s="9"/>
      <c r="S479" s="11"/>
    </row>
    <row r="480" spans="1:19" ht="15.75">
      <c r="A480" s="13">
        <v>56127</v>
      </c>
      <c r="B480" s="8">
        <f>CHOOSE( CONTROL!$C$32, 14.7574, 14.7518) * CHOOSE(CONTROL!$C$15, $D$11, 100%, $F$11)</f>
        <v>14.757400000000001</v>
      </c>
      <c r="C480" s="8">
        <f>CHOOSE( CONTROL!$C$32, 14.7655, 14.7599) * CHOOSE(CONTROL!$C$15, $D$11, 100%, $F$11)</f>
        <v>14.765499999999999</v>
      </c>
      <c r="D480" s="8">
        <f>CHOOSE( CONTROL!$C$32, 14.7919, 14.7863) * CHOOSE( CONTROL!$C$15, $D$11, 100%, $F$11)</f>
        <v>14.7919</v>
      </c>
      <c r="E480" s="12">
        <f>CHOOSE( CONTROL!$C$32, 14.7811, 14.7755) * CHOOSE( CONTROL!$C$15, $D$11, 100%, $F$11)</f>
        <v>14.7811</v>
      </c>
      <c r="F480" s="4">
        <f>CHOOSE( CONTROL!$C$32, 15.4698, 15.4642) * CHOOSE(CONTROL!$C$15, $D$11, 100%, $F$11)</f>
        <v>15.469799999999999</v>
      </c>
      <c r="G480" s="8">
        <f>CHOOSE( CONTROL!$C$32, 14.3999, 14.3945) * CHOOSE( CONTROL!$C$15, $D$11, 100%, $F$11)</f>
        <v>14.399900000000001</v>
      </c>
      <c r="H480" s="4">
        <f>CHOOSE( CONTROL!$C$32, 15.3442, 15.3387) * CHOOSE(CONTROL!$C$15, $D$11, 100%, $F$11)</f>
        <v>15.344200000000001</v>
      </c>
      <c r="I480" s="8">
        <f>CHOOSE( CONTROL!$C$32, 14.2607, 14.2554) * CHOOSE(CONTROL!$C$15, $D$11, 100%, $F$11)</f>
        <v>14.2607</v>
      </c>
      <c r="J480" s="4">
        <f>CHOOSE( CONTROL!$C$32, 14.1394, 14.134) * CHOOSE(CONTROL!$C$15, $D$11, 100%, $F$11)</f>
        <v>14.1394</v>
      </c>
      <c r="K480" s="4"/>
      <c r="L480" s="9">
        <v>30.7165</v>
      </c>
      <c r="M480" s="9">
        <v>12.063700000000001</v>
      </c>
      <c r="N480" s="9">
        <v>4.9444999999999997</v>
      </c>
      <c r="O480" s="9">
        <v>0.37409999999999999</v>
      </c>
      <c r="P480" s="9">
        <v>1.2183999999999999</v>
      </c>
      <c r="Q480" s="9">
        <v>19.877800000000001</v>
      </c>
      <c r="R480" s="9"/>
      <c r="S480" s="11"/>
    </row>
    <row r="481" spans="1:19" ht="15.75">
      <c r="A481" s="13">
        <v>56157</v>
      </c>
      <c r="B481" s="8">
        <f>CHOOSE( CONTROL!$C$32, 14.449, 14.4435) * CHOOSE(CONTROL!$C$15, $D$11, 100%, $F$11)</f>
        <v>14.449</v>
      </c>
      <c r="C481" s="8">
        <f>CHOOSE( CONTROL!$C$32, 14.4571, 14.4515) * CHOOSE(CONTROL!$C$15, $D$11, 100%, $F$11)</f>
        <v>14.457100000000001</v>
      </c>
      <c r="D481" s="8">
        <f>CHOOSE( CONTROL!$C$32, 14.4835, 14.4779) * CHOOSE( CONTROL!$C$15, $D$11, 100%, $F$11)</f>
        <v>14.483499999999999</v>
      </c>
      <c r="E481" s="12">
        <f>CHOOSE( CONTROL!$C$32, 14.4727, 14.4671) * CHOOSE( CONTROL!$C$15, $D$11, 100%, $F$11)</f>
        <v>14.4727</v>
      </c>
      <c r="F481" s="4">
        <f>CHOOSE( CONTROL!$C$32, 15.1614, 15.1559) * CHOOSE(CONTROL!$C$15, $D$11, 100%, $F$11)</f>
        <v>15.1614</v>
      </c>
      <c r="G481" s="8">
        <f>CHOOSE( CONTROL!$C$32, 14.0987, 14.0932) * CHOOSE( CONTROL!$C$15, $D$11, 100%, $F$11)</f>
        <v>14.098699999999999</v>
      </c>
      <c r="H481" s="4">
        <f>CHOOSE( CONTROL!$C$32, 15.043, 15.0375) * CHOOSE(CONTROL!$C$15, $D$11, 100%, $F$11)</f>
        <v>15.042999999999999</v>
      </c>
      <c r="I481" s="8">
        <f>CHOOSE( CONTROL!$C$32, 13.9643, 13.9589) * CHOOSE(CONTROL!$C$15, $D$11, 100%, $F$11)</f>
        <v>13.9643</v>
      </c>
      <c r="J481" s="4">
        <f>CHOOSE( CONTROL!$C$32, 13.8433, 13.8379) * CHOOSE(CONTROL!$C$15, $D$11, 100%, $F$11)</f>
        <v>13.843299999999999</v>
      </c>
      <c r="K481" s="4"/>
      <c r="L481" s="9">
        <v>29.7257</v>
      </c>
      <c r="M481" s="9">
        <v>11.6745</v>
      </c>
      <c r="N481" s="9">
        <v>4.7850000000000001</v>
      </c>
      <c r="O481" s="9">
        <v>0.36199999999999999</v>
      </c>
      <c r="P481" s="9">
        <v>1.1791</v>
      </c>
      <c r="Q481" s="9">
        <v>19.236599999999999</v>
      </c>
      <c r="R481" s="9"/>
      <c r="S481" s="11"/>
    </row>
    <row r="482" spans="1:19" ht="15.75">
      <c r="A482" s="13">
        <v>56188</v>
      </c>
      <c r="B482" s="8">
        <f>15.082 * CHOOSE(CONTROL!$C$15, $D$11, 100%, $F$11)</f>
        <v>15.082000000000001</v>
      </c>
      <c r="C482" s="8">
        <f>15.0875 * CHOOSE(CONTROL!$C$15, $D$11, 100%, $F$11)</f>
        <v>15.0875</v>
      </c>
      <c r="D482" s="8">
        <f>15.1186 * CHOOSE( CONTROL!$C$15, $D$11, 100%, $F$11)</f>
        <v>15.118600000000001</v>
      </c>
      <c r="E482" s="12">
        <f>15.1077 * CHOOSE( CONTROL!$C$15, $D$11, 100%, $F$11)</f>
        <v>15.107699999999999</v>
      </c>
      <c r="F482" s="4">
        <f>15.7961 * CHOOSE(CONTROL!$C$15, $D$11, 100%, $F$11)</f>
        <v>15.796099999999999</v>
      </c>
      <c r="G482" s="8">
        <f>14.7177 * CHOOSE( CONTROL!$C$15, $D$11, 100%, $F$11)</f>
        <v>14.717700000000001</v>
      </c>
      <c r="H482" s="4">
        <f>15.6629 * CHOOSE(CONTROL!$C$15, $D$11, 100%, $F$11)</f>
        <v>15.6629</v>
      </c>
      <c r="I482" s="8">
        <f>14.5748 * CHOOSE(CONTROL!$C$15, $D$11, 100%, $F$11)</f>
        <v>14.5748</v>
      </c>
      <c r="J482" s="4">
        <f>14.4527 * CHOOSE(CONTROL!$C$15, $D$11, 100%, $F$11)</f>
        <v>14.4527</v>
      </c>
      <c r="K482" s="4"/>
      <c r="L482" s="9">
        <v>31.095300000000002</v>
      </c>
      <c r="M482" s="9">
        <v>12.063700000000001</v>
      </c>
      <c r="N482" s="9">
        <v>4.9444999999999997</v>
      </c>
      <c r="O482" s="9">
        <v>0.37409999999999999</v>
      </c>
      <c r="P482" s="9">
        <v>1.2183999999999999</v>
      </c>
      <c r="Q482" s="9">
        <v>19.877800000000001</v>
      </c>
      <c r="R482" s="9"/>
      <c r="S482" s="11"/>
    </row>
    <row r="483" spans="1:19" ht="15.75">
      <c r="A483" s="13">
        <v>56218</v>
      </c>
      <c r="B483" s="8">
        <f>16.2634 * CHOOSE(CONTROL!$C$15, $D$11, 100%, $F$11)</f>
        <v>16.263400000000001</v>
      </c>
      <c r="C483" s="8">
        <f>16.2686 * CHOOSE(CONTROL!$C$15, $D$11, 100%, $F$11)</f>
        <v>16.268599999999999</v>
      </c>
      <c r="D483" s="8">
        <f>16.2548 * CHOOSE( CONTROL!$C$15, $D$11, 100%, $F$11)</f>
        <v>16.254799999999999</v>
      </c>
      <c r="E483" s="12">
        <f>16.2593 * CHOOSE( CONTROL!$C$15, $D$11, 100%, $F$11)</f>
        <v>16.2593</v>
      </c>
      <c r="F483" s="4">
        <f>16.9139 * CHOOSE(CONTROL!$C$15, $D$11, 100%, $F$11)</f>
        <v>16.913900000000002</v>
      </c>
      <c r="G483" s="8">
        <f>15.8796 * CHOOSE( CONTROL!$C$15, $D$11, 100%, $F$11)</f>
        <v>15.8796</v>
      </c>
      <c r="H483" s="4">
        <f>16.7546 * CHOOSE(CONTROL!$C$15, $D$11, 100%, $F$11)</f>
        <v>16.7546</v>
      </c>
      <c r="I483" s="8">
        <f>15.7537 * CHOOSE(CONTROL!$C$15, $D$11, 100%, $F$11)</f>
        <v>15.7537</v>
      </c>
      <c r="J483" s="4">
        <f>15.5873 * CHOOSE(CONTROL!$C$15, $D$11, 100%, $F$11)</f>
        <v>15.587300000000001</v>
      </c>
      <c r="K483" s="4"/>
      <c r="L483" s="9">
        <v>28.360600000000002</v>
      </c>
      <c r="M483" s="9">
        <v>11.6745</v>
      </c>
      <c r="N483" s="9">
        <v>4.7850000000000001</v>
      </c>
      <c r="O483" s="9">
        <v>0.36199999999999999</v>
      </c>
      <c r="P483" s="9">
        <v>1.2509999999999999</v>
      </c>
      <c r="Q483" s="9">
        <v>19.236599999999999</v>
      </c>
      <c r="R483" s="9"/>
      <c r="S483" s="11"/>
    </row>
    <row r="484" spans="1:19" ht="15.75">
      <c r="A484" s="13">
        <v>56249</v>
      </c>
      <c r="B484" s="8">
        <f>16.2339 * CHOOSE(CONTROL!$C$15, $D$11, 100%, $F$11)</f>
        <v>16.233899999999998</v>
      </c>
      <c r="C484" s="8">
        <f>16.2391 * CHOOSE(CONTROL!$C$15, $D$11, 100%, $F$11)</f>
        <v>16.239100000000001</v>
      </c>
      <c r="D484" s="8">
        <f>16.2268 * CHOOSE( CONTROL!$C$15, $D$11, 100%, $F$11)</f>
        <v>16.226800000000001</v>
      </c>
      <c r="E484" s="12">
        <f>16.2307 * CHOOSE( CONTROL!$C$15, $D$11, 100%, $F$11)</f>
        <v>16.230699999999999</v>
      </c>
      <c r="F484" s="4">
        <f>16.8844 * CHOOSE(CONTROL!$C$15, $D$11, 100%, $F$11)</f>
        <v>16.884399999999999</v>
      </c>
      <c r="G484" s="8">
        <f>15.8519 * CHOOSE( CONTROL!$C$15, $D$11, 100%, $F$11)</f>
        <v>15.851900000000001</v>
      </c>
      <c r="H484" s="4">
        <f>16.7258 * CHOOSE(CONTROL!$C$15, $D$11, 100%, $F$11)</f>
        <v>16.7258</v>
      </c>
      <c r="I484" s="8">
        <f>15.7301 * CHOOSE(CONTROL!$C$15, $D$11, 100%, $F$11)</f>
        <v>15.7301</v>
      </c>
      <c r="J484" s="4">
        <f>15.559 * CHOOSE(CONTROL!$C$15, $D$11, 100%, $F$11)</f>
        <v>15.558999999999999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19.877800000000001</v>
      </c>
      <c r="R484" s="9"/>
      <c r="S484" s="11"/>
    </row>
    <row r="485" spans="1:19" ht="15.75">
      <c r="A485" s="13">
        <v>56280</v>
      </c>
      <c r="B485" s="8">
        <f>16.8533 * CHOOSE(CONTROL!$C$15, $D$11, 100%, $F$11)</f>
        <v>16.853300000000001</v>
      </c>
      <c r="C485" s="8">
        <f>16.8585 * CHOOSE(CONTROL!$C$15, $D$11, 100%, $F$11)</f>
        <v>16.858499999999999</v>
      </c>
      <c r="D485" s="8">
        <f>16.8409 * CHOOSE( CONTROL!$C$15, $D$11, 100%, $F$11)</f>
        <v>16.840900000000001</v>
      </c>
      <c r="E485" s="12">
        <f>16.8468 * CHOOSE( CONTROL!$C$15, $D$11, 100%, $F$11)</f>
        <v>16.846800000000002</v>
      </c>
      <c r="F485" s="4">
        <f>17.5037 * CHOOSE(CONTROL!$C$15, $D$11, 100%, $F$11)</f>
        <v>17.503699999999998</v>
      </c>
      <c r="G485" s="8">
        <f>16.4468 * CHOOSE( CONTROL!$C$15, $D$11, 100%, $F$11)</f>
        <v>16.4468</v>
      </c>
      <c r="H485" s="4">
        <f>17.3307 * CHOOSE(CONTROL!$C$15, $D$11, 100%, $F$11)</f>
        <v>17.3307</v>
      </c>
      <c r="I485" s="8">
        <f>16.2849 * CHOOSE(CONTROL!$C$15, $D$11, 100%, $F$11)</f>
        <v>16.2849</v>
      </c>
      <c r="J485" s="4">
        <f>16.1536 * CHOOSE(CONTROL!$C$15, $D$11, 100%, $F$11)</f>
        <v>16.153600000000001</v>
      </c>
      <c r="K485" s="4"/>
      <c r="L485" s="9">
        <v>29.306000000000001</v>
      </c>
      <c r="M485" s="9">
        <v>12.063700000000001</v>
      </c>
      <c r="N485" s="9">
        <v>4.9444999999999997</v>
      </c>
      <c r="O485" s="9">
        <v>0.37409999999999999</v>
      </c>
      <c r="P485" s="9">
        <v>1.2927</v>
      </c>
      <c r="Q485" s="9">
        <v>19.814599999999999</v>
      </c>
      <c r="R485" s="9"/>
      <c r="S485" s="11"/>
    </row>
    <row r="486" spans="1:19" ht="15.75">
      <c r="A486" s="13">
        <v>56308</v>
      </c>
      <c r="B486" s="8">
        <f>15.7656 * CHOOSE(CONTROL!$C$15, $D$11, 100%, $F$11)</f>
        <v>15.765599999999999</v>
      </c>
      <c r="C486" s="8">
        <f>15.7707 * CHOOSE(CONTROL!$C$15, $D$11, 100%, $F$11)</f>
        <v>15.7707</v>
      </c>
      <c r="D486" s="8">
        <f>15.7531 * CHOOSE( CONTROL!$C$15, $D$11, 100%, $F$11)</f>
        <v>15.7531</v>
      </c>
      <c r="E486" s="12">
        <f>15.759 * CHOOSE( CONTROL!$C$15, $D$11, 100%, $F$11)</f>
        <v>15.759</v>
      </c>
      <c r="F486" s="4">
        <f>16.416 * CHOOSE(CONTROL!$C$15, $D$11, 100%, $F$11)</f>
        <v>16.416</v>
      </c>
      <c r="G486" s="8">
        <f>15.3844 * CHOOSE( CONTROL!$C$15, $D$11, 100%, $F$11)</f>
        <v>15.384399999999999</v>
      </c>
      <c r="H486" s="4">
        <f>16.2684 * CHOOSE(CONTROL!$C$15, $D$11, 100%, $F$11)</f>
        <v>16.2684</v>
      </c>
      <c r="I486" s="8">
        <f>15.2399 * CHOOSE(CONTROL!$C$15, $D$11, 100%, $F$11)</f>
        <v>15.2399</v>
      </c>
      <c r="J486" s="4">
        <f>15.1093 * CHOOSE(CONTROL!$C$15, $D$11, 100%, $F$11)</f>
        <v>15.109299999999999</v>
      </c>
      <c r="K486" s="4"/>
      <c r="L486" s="9">
        <v>26.469899999999999</v>
      </c>
      <c r="M486" s="9">
        <v>10.8962</v>
      </c>
      <c r="N486" s="9">
        <v>4.4660000000000002</v>
      </c>
      <c r="O486" s="9">
        <v>0.33789999999999998</v>
      </c>
      <c r="P486" s="9">
        <v>1.1676</v>
      </c>
      <c r="Q486" s="9">
        <v>17.896999999999998</v>
      </c>
      <c r="R486" s="9"/>
      <c r="S486" s="11"/>
    </row>
    <row r="487" spans="1:19" ht="15.75">
      <c r="A487" s="13">
        <v>56339</v>
      </c>
      <c r="B487" s="8">
        <f>15.4306 * CHOOSE(CONTROL!$C$15, $D$11, 100%, $F$11)</f>
        <v>15.4306</v>
      </c>
      <c r="C487" s="8">
        <f>15.4357 * CHOOSE(CONTROL!$C$15, $D$11, 100%, $F$11)</f>
        <v>15.435700000000001</v>
      </c>
      <c r="D487" s="8">
        <f>15.4177 * CHOOSE( CONTROL!$C$15, $D$11, 100%, $F$11)</f>
        <v>15.4177</v>
      </c>
      <c r="E487" s="12">
        <f>15.4237 * CHOOSE( CONTROL!$C$15, $D$11, 100%, $F$11)</f>
        <v>15.4237</v>
      </c>
      <c r="F487" s="4">
        <f>16.081 * CHOOSE(CONTROL!$C$15, $D$11, 100%, $F$11)</f>
        <v>16.081</v>
      </c>
      <c r="G487" s="8">
        <f>15.0569 * CHOOSE( CONTROL!$C$15, $D$11, 100%, $F$11)</f>
        <v>15.056900000000001</v>
      </c>
      <c r="H487" s="4">
        <f>15.9412 * CHOOSE(CONTROL!$C$15, $D$11, 100%, $F$11)</f>
        <v>15.9412</v>
      </c>
      <c r="I487" s="8">
        <f>14.9169 * CHOOSE(CONTROL!$C$15, $D$11, 100%, $F$11)</f>
        <v>14.9169</v>
      </c>
      <c r="J487" s="4">
        <f>14.7877 * CHOOSE(CONTROL!$C$15, $D$11, 100%, $F$11)</f>
        <v>14.787699999999999</v>
      </c>
      <c r="K487" s="4"/>
      <c r="L487" s="9">
        <v>29.306000000000001</v>
      </c>
      <c r="M487" s="9">
        <v>12.063700000000001</v>
      </c>
      <c r="N487" s="9">
        <v>4.9444999999999997</v>
      </c>
      <c r="O487" s="9">
        <v>0.37409999999999999</v>
      </c>
      <c r="P487" s="9">
        <v>1.2927</v>
      </c>
      <c r="Q487" s="9">
        <v>19.814599999999999</v>
      </c>
      <c r="R487" s="9"/>
      <c r="S487" s="11"/>
    </row>
    <row r="488" spans="1:19" ht="15.75">
      <c r="A488" s="13">
        <v>56369</v>
      </c>
      <c r="B488" s="8">
        <f>15.6654 * CHOOSE(CONTROL!$C$15, $D$11, 100%, $F$11)</f>
        <v>15.6654</v>
      </c>
      <c r="C488" s="8">
        <f>15.67 * CHOOSE(CONTROL!$C$15, $D$11, 100%, $F$11)</f>
        <v>15.67</v>
      </c>
      <c r="D488" s="8">
        <f>15.7012 * CHOOSE( CONTROL!$C$15, $D$11, 100%, $F$11)</f>
        <v>15.7012</v>
      </c>
      <c r="E488" s="12">
        <f>15.6904 * CHOOSE( CONTROL!$C$15, $D$11, 100%, $F$11)</f>
        <v>15.6904</v>
      </c>
      <c r="F488" s="4">
        <f>16.3792 * CHOOSE(CONTROL!$C$15, $D$11, 100%, $F$11)</f>
        <v>16.379200000000001</v>
      </c>
      <c r="G488" s="8">
        <f>15.2864 * CHOOSE( CONTROL!$C$15, $D$11, 100%, $F$11)</f>
        <v>15.2864</v>
      </c>
      <c r="H488" s="4">
        <f>16.2324 * CHOOSE(CONTROL!$C$15, $D$11, 100%, $F$11)</f>
        <v>16.232399999999998</v>
      </c>
      <c r="I488" s="8">
        <f>15.1323 * CHOOSE(CONTROL!$C$15, $D$11, 100%, $F$11)</f>
        <v>15.132300000000001</v>
      </c>
      <c r="J488" s="4">
        <f>15.0125 * CHOOSE(CONTROL!$C$15, $D$11, 100%, $F$11)</f>
        <v>15.012499999999999</v>
      </c>
      <c r="K488" s="4"/>
      <c r="L488" s="9">
        <v>30.092199999999998</v>
      </c>
      <c r="M488" s="9">
        <v>11.6745</v>
      </c>
      <c r="N488" s="9">
        <v>4.7850000000000001</v>
      </c>
      <c r="O488" s="9">
        <v>0.36199999999999999</v>
      </c>
      <c r="P488" s="9">
        <v>1.1791</v>
      </c>
      <c r="Q488" s="9">
        <v>19.1754</v>
      </c>
      <c r="R488" s="9"/>
      <c r="S488" s="11"/>
    </row>
    <row r="489" spans="1:19" ht="15.75">
      <c r="A489" s="13">
        <v>56400</v>
      </c>
      <c r="B489" s="8">
        <f>CHOOSE( CONTROL!$C$32, 16.089, 16.0834) * CHOOSE(CONTROL!$C$15, $D$11, 100%, $F$11)</f>
        <v>16.088999999999999</v>
      </c>
      <c r="C489" s="8">
        <f>CHOOSE( CONTROL!$C$32, 16.0971, 16.0915) * CHOOSE(CONTROL!$C$15, $D$11, 100%, $F$11)</f>
        <v>16.097100000000001</v>
      </c>
      <c r="D489" s="8">
        <f>CHOOSE( CONTROL!$C$32, 16.123, 16.1175) * CHOOSE( CONTROL!$C$15, $D$11, 100%, $F$11)</f>
        <v>16.123000000000001</v>
      </c>
      <c r="E489" s="12">
        <f>CHOOSE( CONTROL!$C$32, 16.1124, 16.1068) * CHOOSE( CONTROL!$C$15, $D$11, 100%, $F$11)</f>
        <v>16.112400000000001</v>
      </c>
      <c r="F489" s="4">
        <f>CHOOSE( CONTROL!$C$32, 16.8014, 16.7958) * CHOOSE(CONTROL!$C$15, $D$11, 100%, $F$11)</f>
        <v>16.801400000000001</v>
      </c>
      <c r="G489" s="8">
        <f>CHOOSE( CONTROL!$C$32, 15.6999, 15.6944) * CHOOSE( CONTROL!$C$15, $D$11, 100%, $F$11)</f>
        <v>15.6999</v>
      </c>
      <c r="H489" s="4">
        <f>CHOOSE( CONTROL!$C$32, 16.6447, 16.6393) * CHOOSE(CONTROL!$C$15, $D$11, 100%, $F$11)</f>
        <v>16.6447</v>
      </c>
      <c r="I489" s="8">
        <f>CHOOSE( CONTROL!$C$32, 15.5378, 15.5324) * CHOOSE(CONTROL!$C$15, $D$11, 100%, $F$11)</f>
        <v>15.537800000000001</v>
      </c>
      <c r="J489" s="4">
        <f>CHOOSE( CONTROL!$C$32, 15.4178, 15.4125) * CHOOSE(CONTROL!$C$15, $D$11, 100%, $F$11)</f>
        <v>15.4178</v>
      </c>
      <c r="K489" s="4"/>
      <c r="L489" s="9">
        <v>30.7165</v>
      </c>
      <c r="M489" s="9">
        <v>12.063700000000001</v>
      </c>
      <c r="N489" s="9">
        <v>4.9444999999999997</v>
      </c>
      <c r="O489" s="9">
        <v>0.37409999999999999</v>
      </c>
      <c r="P489" s="9">
        <v>1.2183999999999999</v>
      </c>
      <c r="Q489" s="9">
        <v>19.814599999999999</v>
      </c>
      <c r="R489" s="9"/>
      <c r="S489" s="11"/>
    </row>
    <row r="490" spans="1:19" ht="15.75">
      <c r="A490" s="13">
        <v>56430</v>
      </c>
      <c r="B490" s="8">
        <f>CHOOSE( CONTROL!$C$32, 15.8309, 15.8253) * CHOOSE(CONTROL!$C$15, $D$11, 100%, $F$11)</f>
        <v>15.8309</v>
      </c>
      <c r="C490" s="8">
        <f>CHOOSE( CONTROL!$C$32, 15.839, 15.8334) * CHOOSE(CONTROL!$C$15, $D$11, 100%, $F$11)</f>
        <v>15.839</v>
      </c>
      <c r="D490" s="8">
        <f>CHOOSE( CONTROL!$C$32, 15.8651, 15.8596) * CHOOSE( CONTROL!$C$15, $D$11, 100%, $F$11)</f>
        <v>15.8651</v>
      </c>
      <c r="E490" s="12">
        <f>CHOOSE( CONTROL!$C$32, 15.8544, 15.8489) * CHOOSE( CONTROL!$C$15, $D$11, 100%, $F$11)</f>
        <v>15.8544</v>
      </c>
      <c r="F490" s="4">
        <f>CHOOSE( CONTROL!$C$32, 16.5433, 16.5377) * CHOOSE(CONTROL!$C$15, $D$11, 100%, $F$11)</f>
        <v>16.543299999999999</v>
      </c>
      <c r="G490" s="8">
        <f>CHOOSE( CONTROL!$C$32, 15.448, 15.4426) * CHOOSE( CONTROL!$C$15, $D$11, 100%, $F$11)</f>
        <v>15.448</v>
      </c>
      <c r="H490" s="4">
        <f>CHOOSE( CONTROL!$C$32, 16.3927, 16.3872) * CHOOSE(CONTROL!$C$15, $D$11, 100%, $F$11)</f>
        <v>16.392700000000001</v>
      </c>
      <c r="I490" s="8">
        <f>CHOOSE( CONTROL!$C$32, 15.2907, 15.2853) * CHOOSE(CONTROL!$C$15, $D$11, 100%, $F$11)</f>
        <v>15.290699999999999</v>
      </c>
      <c r="J490" s="4">
        <f>CHOOSE( CONTROL!$C$32, 15.17, 15.1647) * CHOOSE(CONTROL!$C$15, $D$11, 100%, $F$11)</f>
        <v>15.17</v>
      </c>
      <c r="K490" s="4"/>
      <c r="L490" s="9">
        <v>29.7257</v>
      </c>
      <c r="M490" s="9">
        <v>11.6745</v>
      </c>
      <c r="N490" s="9">
        <v>4.7850000000000001</v>
      </c>
      <c r="O490" s="9">
        <v>0.36199999999999999</v>
      </c>
      <c r="P490" s="9">
        <v>1.1791</v>
      </c>
      <c r="Q490" s="9">
        <v>19.1754</v>
      </c>
      <c r="R490" s="9"/>
      <c r="S490" s="11"/>
    </row>
    <row r="491" spans="1:19" ht="15.75">
      <c r="A491" s="13">
        <v>56461</v>
      </c>
      <c r="B491" s="8">
        <f>CHOOSE( CONTROL!$C$32, 16.5106, 16.505) * CHOOSE(CONTROL!$C$15, $D$11, 100%, $F$11)</f>
        <v>16.5106</v>
      </c>
      <c r="C491" s="8">
        <f>CHOOSE( CONTROL!$C$32, 16.5186, 16.5131) * CHOOSE(CONTROL!$C$15, $D$11, 100%, $F$11)</f>
        <v>16.518599999999999</v>
      </c>
      <c r="D491" s="8">
        <f>CHOOSE( CONTROL!$C$32, 16.545, 16.5394) * CHOOSE( CONTROL!$C$15, $D$11, 100%, $F$11)</f>
        <v>16.545000000000002</v>
      </c>
      <c r="E491" s="12">
        <f>CHOOSE( CONTROL!$C$32, 16.5342, 16.5286) * CHOOSE( CONTROL!$C$15, $D$11, 100%, $F$11)</f>
        <v>16.534199999999998</v>
      </c>
      <c r="F491" s="4">
        <f>CHOOSE( CONTROL!$C$32, 17.2229, 17.2174) * CHOOSE(CONTROL!$C$15, $D$11, 100%, $F$11)</f>
        <v>17.222899999999999</v>
      </c>
      <c r="G491" s="8">
        <f>CHOOSE( CONTROL!$C$32, 16.1122, 16.1067) * CHOOSE( CONTROL!$C$15, $D$11, 100%, $F$11)</f>
        <v>16.112200000000001</v>
      </c>
      <c r="H491" s="4">
        <f>CHOOSE( CONTROL!$C$32, 17.0565, 17.051) * CHOOSE(CONTROL!$C$15, $D$11, 100%, $F$11)</f>
        <v>17.0565</v>
      </c>
      <c r="I491" s="8">
        <f>CHOOSE( CONTROL!$C$32, 15.9445, 15.9391) * CHOOSE(CONTROL!$C$15, $D$11, 100%, $F$11)</f>
        <v>15.9445</v>
      </c>
      <c r="J491" s="4">
        <f>CHOOSE( CONTROL!$C$32, 15.8226, 15.8172) * CHOOSE(CONTROL!$C$15, $D$11, 100%, $F$11)</f>
        <v>15.8226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1.2183999999999999</v>
      </c>
      <c r="Q491" s="9">
        <v>19.814599999999999</v>
      </c>
      <c r="R491" s="9"/>
      <c r="S491" s="11"/>
    </row>
    <row r="492" spans="1:19" ht="15.75">
      <c r="A492" s="13">
        <v>56492</v>
      </c>
      <c r="B492" s="8">
        <f>CHOOSE( CONTROL!$C$32, 15.2388, 15.2333) * CHOOSE(CONTROL!$C$15, $D$11, 100%, $F$11)</f>
        <v>15.238799999999999</v>
      </c>
      <c r="C492" s="8">
        <f>CHOOSE( CONTROL!$C$32, 15.2469, 15.2414) * CHOOSE(CONTROL!$C$15, $D$11, 100%, $F$11)</f>
        <v>15.2469</v>
      </c>
      <c r="D492" s="8">
        <f>CHOOSE( CONTROL!$C$32, 15.2733, 15.2678) * CHOOSE( CONTROL!$C$15, $D$11, 100%, $F$11)</f>
        <v>15.273300000000001</v>
      </c>
      <c r="E492" s="12">
        <f>CHOOSE( CONTROL!$C$32, 15.2625, 15.257) * CHOOSE( CONTROL!$C$15, $D$11, 100%, $F$11)</f>
        <v>15.262499999999999</v>
      </c>
      <c r="F492" s="4">
        <f>CHOOSE( CONTROL!$C$32, 15.9512, 15.9457) * CHOOSE(CONTROL!$C$15, $D$11, 100%, $F$11)</f>
        <v>15.9512</v>
      </c>
      <c r="G492" s="8">
        <f>CHOOSE( CONTROL!$C$32, 14.8702, 14.8647) * CHOOSE( CONTROL!$C$15, $D$11, 100%, $F$11)</f>
        <v>14.870200000000001</v>
      </c>
      <c r="H492" s="4">
        <f>CHOOSE( CONTROL!$C$32, 15.8144, 15.809) * CHOOSE(CONTROL!$C$15, $D$11, 100%, $F$11)</f>
        <v>15.814399999999999</v>
      </c>
      <c r="I492" s="8">
        <f>CHOOSE( CONTROL!$C$32, 14.7232, 14.7179) * CHOOSE(CONTROL!$C$15, $D$11, 100%, $F$11)</f>
        <v>14.7232</v>
      </c>
      <c r="J492" s="4">
        <f>CHOOSE( CONTROL!$C$32, 14.6016, 14.5962) * CHOOSE(CONTROL!$C$15, $D$11, 100%, $F$11)</f>
        <v>14.601599999999999</v>
      </c>
      <c r="K492" s="4"/>
      <c r="L492" s="9">
        <v>30.7165</v>
      </c>
      <c r="M492" s="9">
        <v>12.063700000000001</v>
      </c>
      <c r="N492" s="9">
        <v>4.9444999999999997</v>
      </c>
      <c r="O492" s="9">
        <v>0.37409999999999999</v>
      </c>
      <c r="P492" s="9">
        <v>1.2183999999999999</v>
      </c>
      <c r="Q492" s="9">
        <v>19.814599999999999</v>
      </c>
      <c r="R492" s="9"/>
      <c r="S492" s="11"/>
    </row>
    <row r="493" spans="1:19" ht="15.75">
      <c r="A493" s="13">
        <v>56522</v>
      </c>
      <c r="B493" s="8">
        <f>CHOOSE( CONTROL!$C$32, 14.9204, 14.9148) * CHOOSE(CONTROL!$C$15, $D$11, 100%, $F$11)</f>
        <v>14.920400000000001</v>
      </c>
      <c r="C493" s="8">
        <f>CHOOSE( CONTROL!$C$32, 14.9285, 14.9229) * CHOOSE(CONTROL!$C$15, $D$11, 100%, $F$11)</f>
        <v>14.9285</v>
      </c>
      <c r="D493" s="8">
        <f>CHOOSE( CONTROL!$C$32, 14.9548, 14.9493) * CHOOSE( CONTROL!$C$15, $D$11, 100%, $F$11)</f>
        <v>14.954800000000001</v>
      </c>
      <c r="E493" s="12">
        <f>CHOOSE( CONTROL!$C$32, 14.944, 14.9385) * CHOOSE( CONTROL!$C$15, $D$11, 100%, $F$11)</f>
        <v>14.944000000000001</v>
      </c>
      <c r="F493" s="4">
        <f>CHOOSE( CONTROL!$C$32, 15.6328, 15.6272) * CHOOSE(CONTROL!$C$15, $D$11, 100%, $F$11)</f>
        <v>15.6328</v>
      </c>
      <c r="G493" s="8">
        <f>CHOOSE( CONTROL!$C$32, 14.5591, 14.5536) * CHOOSE( CONTROL!$C$15, $D$11, 100%, $F$11)</f>
        <v>14.559100000000001</v>
      </c>
      <c r="H493" s="4">
        <f>CHOOSE( CONTROL!$C$32, 15.5034, 15.4979) * CHOOSE(CONTROL!$C$15, $D$11, 100%, $F$11)</f>
        <v>15.503399999999999</v>
      </c>
      <c r="I493" s="8">
        <f>CHOOSE( CONTROL!$C$32, 14.4171, 14.4117) * CHOOSE(CONTROL!$C$15, $D$11, 100%, $F$11)</f>
        <v>14.4171</v>
      </c>
      <c r="J493" s="4">
        <f>CHOOSE( CONTROL!$C$32, 14.2958, 14.2905) * CHOOSE(CONTROL!$C$15, $D$11, 100%, $F$11)</f>
        <v>14.2958</v>
      </c>
      <c r="K493" s="4"/>
      <c r="L493" s="9">
        <v>29.7257</v>
      </c>
      <c r="M493" s="9">
        <v>11.6745</v>
      </c>
      <c r="N493" s="9">
        <v>4.7850000000000001</v>
      </c>
      <c r="O493" s="9">
        <v>0.36199999999999999</v>
      </c>
      <c r="P493" s="9">
        <v>1.1791</v>
      </c>
      <c r="Q493" s="9">
        <v>19.1754</v>
      </c>
      <c r="R493" s="9"/>
      <c r="S493" s="11"/>
    </row>
    <row r="494" spans="1:19" ht="15.75">
      <c r="A494" s="13">
        <v>56553</v>
      </c>
      <c r="B494" s="8">
        <f>15.5743 * CHOOSE(CONTROL!$C$15, $D$11, 100%, $F$11)</f>
        <v>15.574299999999999</v>
      </c>
      <c r="C494" s="8">
        <f>15.5798 * CHOOSE(CONTROL!$C$15, $D$11, 100%, $F$11)</f>
        <v>15.579800000000001</v>
      </c>
      <c r="D494" s="8">
        <f>15.6109 * CHOOSE( CONTROL!$C$15, $D$11, 100%, $F$11)</f>
        <v>15.610900000000001</v>
      </c>
      <c r="E494" s="12">
        <f>15.6 * CHOOSE( CONTROL!$C$15, $D$11, 100%, $F$11)</f>
        <v>15.6</v>
      </c>
      <c r="F494" s="4">
        <f>16.2884 * CHOOSE(CONTROL!$C$15, $D$11, 100%, $F$11)</f>
        <v>16.288399999999999</v>
      </c>
      <c r="G494" s="8">
        <f>15.1986 * CHOOSE( CONTROL!$C$15, $D$11, 100%, $F$11)</f>
        <v>15.198600000000001</v>
      </c>
      <c r="H494" s="4">
        <f>16.1437 * CHOOSE(CONTROL!$C$15, $D$11, 100%, $F$11)</f>
        <v>16.143699999999999</v>
      </c>
      <c r="I494" s="8">
        <f>15.0477 * CHOOSE(CONTROL!$C$15, $D$11, 100%, $F$11)</f>
        <v>15.047700000000001</v>
      </c>
      <c r="J494" s="4">
        <f>14.9253 * CHOOSE(CONTROL!$C$15, $D$11, 100%, $F$11)</f>
        <v>14.9253</v>
      </c>
      <c r="K494" s="4"/>
      <c r="L494" s="9">
        <v>31.095300000000002</v>
      </c>
      <c r="M494" s="9">
        <v>12.063700000000001</v>
      </c>
      <c r="N494" s="9">
        <v>4.9444999999999997</v>
      </c>
      <c r="O494" s="9">
        <v>0.37409999999999999</v>
      </c>
      <c r="P494" s="9">
        <v>1.2183999999999999</v>
      </c>
      <c r="Q494" s="9">
        <v>19.814599999999999</v>
      </c>
      <c r="R494" s="9"/>
      <c r="S494" s="11"/>
    </row>
    <row r="495" spans="1:19" ht="15.75">
      <c r="A495" s="13">
        <v>56583</v>
      </c>
      <c r="B495" s="8">
        <f>16.7944 * CHOOSE(CONTROL!$C$15, $D$11, 100%, $F$11)</f>
        <v>16.7944</v>
      </c>
      <c r="C495" s="8">
        <f>16.7996 * CHOOSE(CONTROL!$C$15, $D$11, 100%, $F$11)</f>
        <v>16.799600000000002</v>
      </c>
      <c r="D495" s="8">
        <f>16.7858 * CHOOSE( CONTROL!$C$15, $D$11, 100%, $F$11)</f>
        <v>16.785799999999998</v>
      </c>
      <c r="E495" s="12">
        <f>16.7903 * CHOOSE( CONTROL!$C$15, $D$11, 100%, $F$11)</f>
        <v>16.790299999999998</v>
      </c>
      <c r="F495" s="4">
        <f>17.4448 * CHOOSE(CONTROL!$C$15, $D$11, 100%, $F$11)</f>
        <v>17.444800000000001</v>
      </c>
      <c r="G495" s="8">
        <f>16.3982 * CHOOSE( CONTROL!$C$15, $D$11, 100%, $F$11)</f>
        <v>16.398199999999999</v>
      </c>
      <c r="H495" s="4">
        <f>17.2732 * CHOOSE(CONTROL!$C$15, $D$11, 100%, $F$11)</f>
        <v>17.273199999999999</v>
      </c>
      <c r="I495" s="8">
        <f>16.2637 * CHOOSE(CONTROL!$C$15, $D$11, 100%, $F$11)</f>
        <v>16.2637</v>
      </c>
      <c r="J495" s="4">
        <f>16.0971 * CHOOSE(CONTROL!$C$15, $D$11, 100%, $F$11)</f>
        <v>16.097100000000001</v>
      </c>
      <c r="K495" s="4"/>
      <c r="L495" s="9">
        <v>28.360600000000002</v>
      </c>
      <c r="M495" s="9">
        <v>11.6745</v>
      </c>
      <c r="N495" s="9">
        <v>4.7850000000000001</v>
      </c>
      <c r="O495" s="9">
        <v>0.36199999999999999</v>
      </c>
      <c r="P495" s="9">
        <v>1.2509999999999999</v>
      </c>
      <c r="Q495" s="9">
        <v>19.1754</v>
      </c>
      <c r="R495" s="9"/>
      <c r="S495" s="11"/>
    </row>
    <row r="496" spans="1:19" ht="15.75">
      <c r="A496" s="13">
        <v>56614</v>
      </c>
      <c r="B496" s="8">
        <f>16.7639 * CHOOSE(CONTROL!$C$15, $D$11, 100%, $F$11)</f>
        <v>16.7639</v>
      </c>
      <c r="C496" s="8">
        <f>16.7691 * CHOOSE(CONTROL!$C$15, $D$11, 100%, $F$11)</f>
        <v>16.769100000000002</v>
      </c>
      <c r="D496" s="8">
        <f>16.7568 * CHOOSE( CONTROL!$C$15, $D$11, 100%, $F$11)</f>
        <v>16.756799999999998</v>
      </c>
      <c r="E496" s="12">
        <f>16.7607 * CHOOSE( CONTROL!$C$15, $D$11, 100%, $F$11)</f>
        <v>16.7607</v>
      </c>
      <c r="F496" s="4">
        <f>17.4143 * CHOOSE(CONTROL!$C$15, $D$11, 100%, $F$11)</f>
        <v>17.414300000000001</v>
      </c>
      <c r="G496" s="8">
        <f>16.3695 * CHOOSE( CONTROL!$C$15, $D$11, 100%, $F$11)</f>
        <v>16.369499999999999</v>
      </c>
      <c r="H496" s="4">
        <f>17.2434 * CHOOSE(CONTROL!$C$15, $D$11, 100%, $F$11)</f>
        <v>17.243400000000001</v>
      </c>
      <c r="I496" s="8">
        <f>16.2392 * CHOOSE(CONTROL!$C$15, $D$11, 100%, $F$11)</f>
        <v>16.2392</v>
      </c>
      <c r="J496" s="4">
        <f>16.0678 * CHOOSE(CONTROL!$C$15, $D$11, 100%, $F$11)</f>
        <v>16.067799999999998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19.814599999999999</v>
      </c>
      <c r="R496" s="9"/>
      <c r="S496" s="11"/>
    </row>
    <row r="497" spans="1:19" ht="15.75">
      <c r="A497" s="13">
        <v>56645</v>
      </c>
      <c r="B497" s="8">
        <f>17.4035 * CHOOSE(CONTROL!$C$15, $D$11, 100%, $F$11)</f>
        <v>17.403500000000001</v>
      </c>
      <c r="C497" s="8">
        <f>17.4087 * CHOOSE(CONTROL!$C$15, $D$11, 100%, $F$11)</f>
        <v>17.4087</v>
      </c>
      <c r="D497" s="8">
        <f>17.3911 * CHOOSE( CONTROL!$C$15, $D$11, 100%, $F$11)</f>
        <v>17.391100000000002</v>
      </c>
      <c r="E497" s="12">
        <f>17.397 * CHOOSE( CONTROL!$C$15, $D$11, 100%, $F$11)</f>
        <v>17.396999999999998</v>
      </c>
      <c r="F497" s="4">
        <f>18.054 * CHOOSE(CONTROL!$C$15, $D$11, 100%, $F$11)</f>
        <v>18.053999999999998</v>
      </c>
      <c r="G497" s="8">
        <f>16.9842 * CHOOSE( CONTROL!$C$15, $D$11, 100%, $F$11)</f>
        <v>16.984200000000001</v>
      </c>
      <c r="H497" s="4">
        <f>17.8681 * CHOOSE(CONTROL!$C$15, $D$11, 100%, $F$11)</f>
        <v>17.868099999999998</v>
      </c>
      <c r="I497" s="8">
        <f>16.8135 * CHOOSE(CONTROL!$C$15, $D$11, 100%, $F$11)</f>
        <v>16.813500000000001</v>
      </c>
      <c r="J497" s="4">
        <f>16.6819 * CHOOSE(CONTROL!$C$15, $D$11, 100%, $F$11)</f>
        <v>16.681899999999999</v>
      </c>
      <c r="K497" s="4"/>
      <c r="L497" s="9">
        <v>29.306000000000001</v>
      </c>
      <c r="M497" s="9">
        <v>12.063700000000001</v>
      </c>
      <c r="N497" s="9">
        <v>4.9444999999999997</v>
      </c>
      <c r="O497" s="9">
        <v>0.37409999999999999</v>
      </c>
      <c r="P497" s="9">
        <v>1.2927</v>
      </c>
      <c r="Q497" s="9">
        <v>19.751300000000001</v>
      </c>
      <c r="R497" s="9"/>
      <c r="S497" s="11"/>
    </row>
    <row r="498" spans="1:19" ht="15.75">
      <c r="A498" s="13">
        <v>56673</v>
      </c>
      <c r="B498" s="8">
        <f>16.2802 * CHOOSE(CONTROL!$C$15, $D$11, 100%, $F$11)</f>
        <v>16.280200000000001</v>
      </c>
      <c r="C498" s="8">
        <f>16.2854 * CHOOSE(CONTROL!$C$15, $D$11, 100%, $F$11)</f>
        <v>16.285399999999999</v>
      </c>
      <c r="D498" s="8">
        <f>16.2678 * CHOOSE( CONTROL!$C$15, $D$11, 100%, $F$11)</f>
        <v>16.267800000000001</v>
      </c>
      <c r="E498" s="12">
        <f>16.2737 * CHOOSE( CONTROL!$C$15, $D$11, 100%, $F$11)</f>
        <v>16.273700000000002</v>
      </c>
      <c r="F498" s="4">
        <f>16.9307 * CHOOSE(CONTROL!$C$15, $D$11, 100%, $F$11)</f>
        <v>16.930700000000002</v>
      </c>
      <c r="G498" s="8">
        <f>15.887 * CHOOSE( CONTROL!$C$15, $D$11, 100%, $F$11)</f>
        <v>15.887</v>
      </c>
      <c r="H498" s="4">
        <f>16.771 * CHOOSE(CONTROL!$C$15, $D$11, 100%, $F$11)</f>
        <v>16.771000000000001</v>
      </c>
      <c r="I498" s="8">
        <f>15.7343 * CHOOSE(CONTROL!$C$15, $D$11, 100%, $F$11)</f>
        <v>15.734299999999999</v>
      </c>
      <c r="J498" s="4">
        <f>15.6035 * CHOOSE(CONTROL!$C$15, $D$11, 100%, $F$11)</f>
        <v>15.6035</v>
      </c>
      <c r="K498" s="4"/>
      <c r="L498" s="9">
        <v>26.469899999999999</v>
      </c>
      <c r="M498" s="9">
        <v>10.8962</v>
      </c>
      <c r="N498" s="9">
        <v>4.4660000000000002</v>
      </c>
      <c r="O498" s="9">
        <v>0.33789999999999998</v>
      </c>
      <c r="P498" s="9">
        <v>1.1676</v>
      </c>
      <c r="Q498" s="9">
        <v>17.8399</v>
      </c>
      <c r="R498" s="9"/>
      <c r="S498" s="11"/>
    </row>
    <row r="499" spans="1:19" ht="15.75">
      <c r="A499" s="13">
        <v>56704</v>
      </c>
      <c r="B499" s="8">
        <f>15.9343 * CHOOSE(CONTROL!$C$15, $D$11, 100%, $F$11)</f>
        <v>15.9343</v>
      </c>
      <c r="C499" s="8">
        <f>15.9395 * CHOOSE(CONTROL!$C$15, $D$11, 100%, $F$11)</f>
        <v>15.939500000000001</v>
      </c>
      <c r="D499" s="8">
        <f>15.9215 * CHOOSE( CONTROL!$C$15, $D$11, 100%, $F$11)</f>
        <v>15.9215</v>
      </c>
      <c r="E499" s="12">
        <f>15.9275 * CHOOSE( CONTROL!$C$15, $D$11, 100%, $F$11)</f>
        <v>15.9275</v>
      </c>
      <c r="F499" s="4">
        <f>16.5847 * CHOOSE(CONTROL!$C$15, $D$11, 100%, $F$11)</f>
        <v>16.584700000000002</v>
      </c>
      <c r="G499" s="8">
        <f>15.5489 * CHOOSE( CONTROL!$C$15, $D$11, 100%, $F$11)</f>
        <v>15.5489</v>
      </c>
      <c r="H499" s="4">
        <f>16.4331 * CHOOSE(CONTROL!$C$15, $D$11, 100%, $F$11)</f>
        <v>16.4331</v>
      </c>
      <c r="I499" s="8">
        <f>15.4008 * CHOOSE(CONTROL!$C$15, $D$11, 100%, $F$11)</f>
        <v>15.4008</v>
      </c>
      <c r="J499" s="4">
        <f>15.2713 * CHOOSE(CONTROL!$C$15, $D$11, 100%, $F$11)</f>
        <v>15.2713</v>
      </c>
      <c r="K499" s="4"/>
      <c r="L499" s="9">
        <v>29.306000000000001</v>
      </c>
      <c r="M499" s="9">
        <v>12.063700000000001</v>
      </c>
      <c r="N499" s="9">
        <v>4.9444999999999997</v>
      </c>
      <c r="O499" s="9">
        <v>0.37409999999999999</v>
      </c>
      <c r="P499" s="9">
        <v>1.2927</v>
      </c>
      <c r="Q499" s="9">
        <v>19.751300000000001</v>
      </c>
      <c r="R499" s="9"/>
      <c r="S499" s="11"/>
    </row>
    <row r="500" spans="1:19" ht="15.75">
      <c r="A500" s="13">
        <v>56734</v>
      </c>
      <c r="B500" s="8">
        <f>16.1768 * CHOOSE(CONTROL!$C$15, $D$11, 100%, $F$11)</f>
        <v>16.1768</v>
      </c>
      <c r="C500" s="8">
        <f>16.1814 * CHOOSE(CONTROL!$C$15, $D$11, 100%, $F$11)</f>
        <v>16.1814</v>
      </c>
      <c r="D500" s="8">
        <f>16.2125 * CHOOSE( CONTROL!$C$15, $D$11, 100%, $F$11)</f>
        <v>16.212499999999999</v>
      </c>
      <c r="E500" s="12">
        <f>16.2017 * CHOOSE( CONTROL!$C$15, $D$11, 100%, $F$11)</f>
        <v>16.201699999999999</v>
      </c>
      <c r="F500" s="4">
        <f>16.8905 * CHOOSE(CONTROL!$C$15, $D$11, 100%, $F$11)</f>
        <v>16.890499999999999</v>
      </c>
      <c r="G500" s="8">
        <f>15.7858 * CHOOSE( CONTROL!$C$15, $D$11, 100%, $F$11)</f>
        <v>15.7858</v>
      </c>
      <c r="H500" s="4">
        <f>16.7318 * CHOOSE(CONTROL!$C$15, $D$11, 100%, $F$11)</f>
        <v>16.7318</v>
      </c>
      <c r="I500" s="8">
        <f>15.6235 * CHOOSE(CONTROL!$C$15, $D$11, 100%, $F$11)</f>
        <v>15.6235</v>
      </c>
      <c r="J500" s="4">
        <f>15.5034 * CHOOSE(CONTROL!$C$15, $D$11, 100%, $F$11)</f>
        <v>15.503399999999999</v>
      </c>
      <c r="K500" s="4"/>
      <c r="L500" s="9">
        <v>30.092199999999998</v>
      </c>
      <c r="M500" s="9">
        <v>11.6745</v>
      </c>
      <c r="N500" s="9">
        <v>4.7850000000000001</v>
      </c>
      <c r="O500" s="9">
        <v>0.36199999999999999</v>
      </c>
      <c r="P500" s="9">
        <v>1.1791</v>
      </c>
      <c r="Q500" s="9">
        <v>19.1142</v>
      </c>
      <c r="R500" s="9"/>
      <c r="S500" s="11"/>
    </row>
    <row r="501" spans="1:19" ht="15.75">
      <c r="A501" s="13">
        <v>56765</v>
      </c>
      <c r="B501" s="8">
        <f>CHOOSE( CONTROL!$C$32, 16.614, 16.6084) * CHOOSE(CONTROL!$C$15, $D$11, 100%, $F$11)</f>
        <v>16.614000000000001</v>
      </c>
      <c r="C501" s="8">
        <f>CHOOSE( CONTROL!$C$32, 16.6221, 16.6165) * CHOOSE(CONTROL!$C$15, $D$11, 100%, $F$11)</f>
        <v>16.6221</v>
      </c>
      <c r="D501" s="8">
        <f>CHOOSE( CONTROL!$C$32, 16.648, 16.6425) * CHOOSE( CONTROL!$C$15, $D$11, 100%, $F$11)</f>
        <v>16.648</v>
      </c>
      <c r="E501" s="12">
        <f>CHOOSE( CONTROL!$C$32, 16.6374, 16.6318) * CHOOSE( CONTROL!$C$15, $D$11, 100%, $F$11)</f>
        <v>16.6374</v>
      </c>
      <c r="F501" s="4">
        <f>CHOOSE( CONTROL!$C$32, 17.3264, 17.3208) * CHOOSE(CONTROL!$C$15, $D$11, 100%, $F$11)</f>
        <v>17.3264</v>
      </c>
      <c r="G501" s="8">
        <f>CHOOSE( CONTROL!$C$32, 16.2126, 16.2072) * CHOOSE( CONTROL!$C$15, $D$11, 100%, $F$11)</f>
        <v>16.212599999999998</v>
      </c>
      <c r="H501" s="4">
        <f>CHOOSE( CONTROL!$C$32, 17.1575, 17.1521) * CHOOSE(CONTROL!$C$15, $D$11, 100%, $F$11)</f>
        <v>17.157499999999999</v>
      </c>
      <c r="I501" s="8">
        <f>CHOOSE( CONTROL!$C$32, 16.0421, 16.0367) * CHOOSE(CONTROL!$C$15, $D$11, 100%, $F$11)</f>
        <v>16.042100000000001</v>
      </c>
      <c r="J501" s="4">
        <f>CHOOSE( CONTROL!$C$32, 15.9219, 15.9165) * CHOOSE(CONTROL!$C$15, $D$11, 100%, $F$11)</f>
        <v>15.921900000000001</v>
      </c>
      <c r="K501" s="4"/>
      <c r="L501" s="9">
        <v>30.7165</v>
      </c>
      <c r="M501" s="9">
        <v>12.063700000000001</v>
      </c>
      <c r="N501" s="9">
        <v>4.9444999999999997</v>
      </c>
      <c r="O501" s="9">
        <v>0.37409999999999999</v>
      </c>
      <c r="P501" s="9">
        <v>1.2183999999999999</v>
      </c>
      <c r="Q501" s="9">
        <v>19.751300000000001</v>
      </c>
      <c r="R501" s="9"/>
      <c r="S501" s="11"/>
    </row>
    <row r="502" spans="1:19" ht="15.75">
      <c r="A502" s="13">
        <v>56795</v>
      </c>
      <c r="B502" s="8">
        <f>CHOOSE( CONTROL!$C$32, 16.3474, 16.3419) * CHOOSE(CONTROL!$C$15, $D$11, 100%, $F$11)</f>
        <v>16.3474</v>
      </c>
      <c r="C502" s="8">
        <f>CHOOSE( CONTROL!$C$32, 16.3555, 16.35) * CHOOSE(CONTROL!$C$15, $D$11, 100%, $F$11)</f>
        <v>16.355499999999999</v>
      </c>
      <c r="D502" s="8">
        <f>CHOOSE( CONTROL!$C$32, 16.3817, 16.3761) * CHOOSE( CONTROL!$C$15, $D$11, 100%, $F$11)</f>
        <v>16.381699999999999</v>
      </c>
      <c r="E502" s="12">
        <f>CHOOSE( CONTROL!$C$32, 16.371, 16.3654) * CHOOSE( CONTROL!$C$15, $D$11, 100%, $F$11)</f>
        <v>16.370999999999999</v>
      </c>
      <c r="F502" s="4">
        <f>CHOOSE( CONTROL!$C$32, 17.0598, 17.0543) * CHOOSE(CONTROL!$C$15, $D$11, 100%, $F$11)</f>
        <v>17.059799999999999</v>
      </c>
      <c r="G502" s="8">
        <f>CHOOSE( CONTROL!$C$32, 15.9526, 15.9471) * CHOOSE( CONTROL!$C$15, $D$11, 100%, $F$11)</f>
        <v>15.9526</v>
      </c>
      <c r="H502" s="4">
        <f>CHOOSE( CONTROL!$C$32, 16.8972, 16.8917) * CHOOSE(CONTROL!$C$15, $D$11, 100%, $F$11)</f>
        <v>16.897200000000002</v>
      </c>
      <c r="I502" s="8">
        <f>CHOOSE( CONTROL!$C$32, 15.7869, 15.7815) * CHOOSE(CONTROL!$C$15, $D$11, 100%, $F$11)</f>
        <v>15.786899999999999</v>
      </c>
      <c r="J502" s="4">
        <f>CHOOSE( CONTROL!$C$32, 15.666, 15.6606) * CHOOSE(CONTROL!$C$15, $D$11, 100%, $F$11)</f>
        <v>15.666</v>
      </c>
      <c r="K502" s="4"/>
      <c r="L502" s="9">
        <v>29.7257</v>
      </c>
      <c r="M502" s="9">
        <v>11.6745</v>
      </c>
      <c r="N502" s="9">
        <v>4.7850000000000001</v>
      </c>
      <c r="O502" s="9">
        <v>0.36199999999999999</v>
      </c>
      <c r="P502" s="9">
        <v>1.1791</v>
      </c>
      <c r="Q502" s="9">
        <v>19.1142</v>
      </c>
      <c r="R502" s="9"/>
      <c r="S502" s="11"/>
    </row>
    <row r="503" spans="1:19" ht="15.75">
      <c r="A503" s="13">
        <v>56826</v>
      </c>
      <c r="B503" s="8">
        <f>CHOOSE( CONTROL!$C$32, 17.0493, 17.0438) * CHOOSE(CONTROL!$C$15, $D$11, 100%, $F$11)</f>
        <v>17.049299999999999</v>
      </c>
      <c r="C503" s="8">
        <f>CHOOSE( CONTROL!$C$32, 17.0574, 17.0519) * CHOOSE(CONTROL!$C$15, $D$11, 100%, $F$11)</f>
        <v>17.057400000000001</v>
      </c>
      <c r="D503" s="8">
        <f>CHOOSE( CONTROL!$C$32, 17.0838, 17.0782) * CHOOSE( CONTROL!$C$15, $D$11, 100%, $F$11)</f>
        <v>17.0838</v>
      </c>
      <c r="E503" s="12">
        <f>CHOOSE( CONTROL!$C$32, 17.073, 17.0674) * CHOOSE( CONTROL!$C$15, $D$11, 100%, $F$11)</f>
        <v>17.073</v>
      </c>
      <c r="F503" s="4">
        <f>CHOOSE( CONTROL!$C$32, 17.7617, 17.7562) * CHOOSE(CONTROL!$C$15, $D$11, 100%, $F$11)</f>
        <v>17.761700000000001</v>
      </c>
      <c r="G503" s="8">
        <f>CHOOSE( CONTROL!$C$32, 16.6384, 16.633) * CHOOSE( CONTROL!$C$15, $D$11, 100%, $F$11)</f>
        <v>16.638400000000001</v>
      </c>
      <c r="H503" s="4">
        <f>CHOOSE( CONTROL!$C$32, 17.5827, 17.5773) * CHOOSE(CONTROL!$C$15, $D$11, 100%, $F$11)</f>
        <v>17.582699999999999</v>
      </c>
      <c r="I503" s="8">
        <f>CHOOSE( CONTROL!$C$32, 16.462, 16.4567) * CHOOSE(CONTROL!$C$15, $D$11, 100%, $F$11)</f>
        <v>16.462</v>
      </c>
      <c r="J503" s="4">
        <f>CHOOSE( CONTROL!$C$32, 16.3398, 16.3345) * CHOOSE(CONTROL!$C$15, $D$11, 100%, $F$11)</f>
        <v>16.3398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1.2183999999999999</v>
      </c>
      <c r="Q503" s="9">
        <v>19.751300000000001</v>
      </c>
      <c r="R503" s="9"/>
      <c r="S503" s="11"/>
    </row>
    <row r="504" spans="1:19" ht="15.75">
      <c r="A504" s="13">
        <v>56857</v>
      </c>
      <c r="B504" s="8">
        <f>CHOOSE( CONTROL!$C$32, 15.736, 15.7305) * CHOOSE(CONTROL!$C$15, $D$11, 100%, $F$11)</f>
        <v>15.736000000000001</v>
      </c>
      <c r="C504" s="8">
        <f>CHOOSE( CONTROL!$C$32, 15.7441, 15.7385) * CHOOSE(CONTROL!$C$15, $D$11, 100%, $F$11)</f>
        <v>15.7441</v>
      </c>
      <c r="D504" s="8">
        <f>CHOOSE( CONTROL!$C$32, 15.7705, 15.7649) * CHOOSE( CONTROL!$C$15, $D$11, 100%, $F$11)</f>
        <v>15.7705</v>
      </c>
      <c r="E504" s="12">
        <f>CHOOSE( CONTROL!$C$32, 15.7597, 15.7541) * CHOOSE( CONTROL!$C$15, $D$11, 100%, $F$11)</f>
        <v>15.7597</v>
      </c>
      <c r="F504" s="4">
        <f>CHOOSE( CONTROL!$C$32, 16.4484, 16.4429) * CHOOSE(CONTROL!$C$15, $D$11, 100%, $F$11)</f>
        <v>16.448399999999999</v>
      </c>
      <c r="G504" s="8">
        <f>CHOOSE( CONTROL!$C$32, 15.3558, 15.3503) * CHOOSE( CONTROL!$C$15, $D$11, 100%, $F$11)</f>
        <v>15.3558</v>
      </c>
      <c r="H504" s="4">
        <f>CHOOSE( CONTROL!$C$32, 16.3, 16.2946) * CHOOSE(CONTROL!$C$15, $D$11, 100%, $F$11)</f>
        <v>16.3</v>
      </c>
      <c r="I504" s="8">
        <f>CHOOSE( CONTROL!$C$32, 15.2008, 15.1954) * CHOOSE(CONTROL!$C$15, $D$11, 100%, $F$11)</f>
        <v>15.200799999999999</v>
      </c>
      <c r="J504" s="4">
        <f>CHOOSE( CONTROL!$C$32, 15.0789, 15.0736) * CHOOSE(CONTROL!$C$15, $D$11, 100%, $F$11)</f>
        <v>15.078900000000001</v>
      </c>
      <c r="K504" s="4"/>
      <c r="L504" s="9">
        <v>30.7165</v>
      </c>
      <c r="M504" s="9">
        <v>12.063700000000001</v>
      </c>
      <c r="N504" s="9">
        <v>4.9444999999999997</v>
      </c>
      <c r="O504" s="9">
        <v>0.37409999999999999</v>
      </c>
      <c r="P504" s="9">
        <v>1.2183999999999999</v>
      </c>
      <c r="Q504" s="9">
        <v>19.751300000000001</v>
      </c>
      <c r="R504" s="9"/>
      <c r="S504" s="11"/>
    </row>
    <row r="505" spans="1:19" ht="15.75">
      <c r="A505" s="13">
        <v>56887</v>
      </c>
      <c r="B505" s="8">
        <f>CHOOSE( CONTROL!$C$32, 15.4072, 15.4016) * CHOOSE(CONTROL!$C$15, $D$11, 100%, $F$11)</f>
        <v>15.4072</v>
      </c>
      <c r="C505" s="8">
        <f>CHOOSE( CONTROL!$C$32, 15.4152, 15.4097) * CHOOSE(CONTROL!$C$15, $D$11, 100%, $F$11)</f>
        <v>15.4152</v>
      </c>
      <c r="D505" s="8">
        <f>CHOOSE( CONTROL!$C$32, 15.4416, 15.436) * CHOOSE( CONTROL!$C$15, $D$11, 100%, $F$11)</f>
        <v>15.441599999999999</v>
      </c>
      <c r="E505" s="12">
        <f>CHOOSE( CONTROL!$C$32, 15.4308, 15.4252) * CHOOSE( CONTROL!$C$15, $D$11, 100%, $F$11)</f>
        <v>15.4308</v>
      </c>
      <c r="F505" s="4">
        <f>CHOOSE( CONTROL!$C$32, 16.1196, 16.114) * CHOOSE(CONTROL!$C$15, $D$11, 100%, $F$11)</f>
        <v>16.119599999999998</v>
      </c>
      <c r="G505" s="8">
        <f>CHOOSE( CONTROL!$C$32, 15.0345, 15.0291) * CHOOSE( CONTROL!$C$15, $D$11, 100%, $F$11)</f>
        <v>15.0345</v>
      </c>
      <c r="H505" s="4">
        <f>CHOOSE( CONTROL!$C$32, 15.9788, 15.9734) * CHOOSE(CONTROL!$C$15, $D$11, 100%, $F$11)</f>
        <v>15.9788</v>
      </c>
      <c r="I505" s="8">
        <f>CHOOSE( CONTROL!$C$32, 14.8847, 14.8793) * CHOOSE(CONTROL!$C$15, $D$11, 100%, $F$11)</f>
        <v>14.8847</v>
      </c>
      <c r="J505" s="4">
        <f>CHOOSE( CONTROL!$C$32, 14.7632, 14.7578) * CHOOSE(CONTROL!$C$15, $D$11, 100%, $F$11)</f>
        <v>14.763199999999999</v>
      </c>
      <c r="K505" s="4"/>
      <c r="L505" s="9">
        <v>29.7257</v>
      </c>
      <c r="M505" s="9">
        <v>11.6745</v>
      </c>
      <c r="N505" s="9">
        <v>4.7850000000000001</v>
      </c>
      <c r="O505" s="9">
        <v>0.36199999999999999</v>
      </c>
      <c r="P505" s="9">
        <v>1.1791</v>
      </c>
      <c r="Q505" s="9">
        <v>19.1142</v>
      </c>
      <c r="R505" s="9"/>
      <c r="S505" s="11"/>
    </row>
    <row r="506" spans="1:19" ht="15.75">
      <c r="A506" s="13">
        <v>56918</v>
      </c>
      <c r="B506" s="8">
        <f>16.0827 * CHOOSE(CONTROL!$C$15, $D$11, 100%, $F$11)</f>
        <v>16.082699999999999</v>
      </c>
      <c r="C506" s="8">
        <f>16.0881 * CHOOSE(CONTROL!$C$15, $D$11, 100%, $F$11)</f>
        <v>16.088100000000001</v>
      </c>
      <c r="D506" s="8">
        <f>16.1193 * CHOOSE( CONTROL!$C$15, $D$11, 100%, $F$11)</f>
        <v>16.119299999999999</v>
      </c>
      <c r="E506" s="12">
        <f>16.1084 * CHOOSE( CONTROL!$C$15, $D$11, 100%, $F$11)</f>
        <v>16.1084</v>
      </c>
      <c r="F506" s="4">
        <f>16.7968 * CHOOSE(CONTROL!$C$15, $D$11, 100%, $F$11)</f>
        <v>16.796800000000001</v>
      </c>
      <c r="G506" s="8">
        <f>15.6951 * CHOOSE( CONTROL!$C$15, $D$11, 100%, $F$11)</f>
        <v>15.6951</v>
      </c>
      <c r="H506" s="4">
        <f>16.6403 * CHOOSE(CONTROL!$C$15, $D$11, 100%, $F$11)</f>
        <v>16.6403</v>
      </c>
      <c r="I506" s="8">
        <f>15.5361 * CHOOSE(CONTROL!$C$15, $D$11, 100%, $F$11)</f>
        <v>15.536099999999999</v>
      </c>
      <c r="J506" s="4">
        <f>15.4134 * CHOOSE(CONTROL!$C$15, $D$11, 100%, $F$11)</f>
        <v>15.413399999999999</v>
      </c>
      <c r="K506" s="4"/>
      <c r="L506" s="9">
        <v>31.095300000000002</v>
      </c>
      <c r="M506" s="9">
        <v>12.063700000000001</v>
      </c>
      <c r="N506" s="9">
        <v>4.9444999999999997</v>
      </c>
      <c r="O506" s="9">
        <v>0.37409999999999999</v>
      </c>
      <c r="P506" s="9">
        <v>1.2183999999999999</v>
      </c>
      <c r="Q506" s="9">
        <v>19.751300000000001</v>
      </c>
      <c r="R506" s="9"/>
      <c r="S506" s="11"/>
    </row>
    <row r="507" spans="1:19" ht="15.75">
      <c r="A507" s="13">
        <v>56948</v>
      </c>
      <c r="B507" s="8">
        <f>17.3427 * CHOOSE(CONTROL!$C$15, $D$11, 100%, $F$11)</f>
        <v>17.342700000000001</v>
      </c>
      <c r="C507" s="8">
        <f>17.3479 * CHOOSE(CONTROL!$C$15, $D$11, 100%, $F$11)</f>
        <v>17.347899999999999</v>
      </c>
      <c r="D507" s="8">
        <f>17.3341 * CHOOSE( CONTROL!$C$15, $D$11, 100%, $F$11)</f>
        <v>17.334099999999999</v>
      </c>
      <c r="E507" s="12">
        <f>17.3386 * CHOOSE( CONTROL!$C$15, $D$11, 100%, $F$11)</f>
        <v>17.3386</v>
      </c>
      <c r="F507" s="4">
        <f>17.9932 * CHOOSE(CONTROL!$C$15, $D$11, 100%, $F$11)</f>
        <v>17.993200000000002</v>
      </c>
      <c r="G507" s="8">
        <f>16.9337 * CHOOSE( CONTROL!$C$15, $D$11, 100%, $F$11)</f>
        <v>16.933700000000002</v>
      </c>
      <c r="H507" s="4">
        <f>17.8087 * CHOOSE(CONTROL!$C$15, $D$11, 100%, $F$11)</f>
        <v>17.808700000000002</v>
      </c>
      <c r="I507" s="8">
        <f>16.7904 * CHOOSE(CONTROL!$C$15, $D$11, 100%, $F$11)</f>
        <v>16.790400000000002</v>
      </c>
      <c r="J507" s="4">
        <f>16.6235 * CHOOSE(CONTROL!$C$15, $D$11, 100%, $F$11)</f>
        <v>16.6235</v>
      </c>
      <c r="K507" s="4"/>
      <c r="L507" s="9">
        <v>28.360600000000002</v>
      </c>
      <c r="M507" s="9">
        <v>11.6745</v>
      </c>
      <c r="N507" s="9">
        <v>4.7850000000000001</v>
      </c>
      <c r="O507" s="9">
        <v>0.36199999999999999</v>
      </c>
      <c r="P507" s="9">
        <v>1.2509999999999999</v>
      </c>
      <c r="Q507" s="9">
        <v>19.1142</v>
      </c>
      <c r="R507" s="9"/>
      <c r="S507" s="11"/>
    </row>
    <row r="508" spans="1:19" ht="15.75">
      <c r="A508" s="13">
        <v>56979</v>
      </c>
      <c r="B508" s="8">
        <f>17.3112 * CHOOSE(CONTROL!$C$15, $D$11, 100%, $F$11)</f>
        <v>17.311199999999999</v>
      </c>
      <c r="C508" s="8">
        <f>17.3164 * CHOOSE(CONTROL!$C$15, $D$11, 100%, $F$11)</f>
        <v>17.316400000000002</v>
      </c>
      <c r="D508" s="8">
        <f>17.3041 * CHOOSE( CONTROL!$C$15, $D$11, 100%, $F$11)</f>
        <v>17.304099999999998</v>
      </c>
      <c r="E508" s="12">
        <f>17.308 * CHOOSE( CONTROL!$C$15, $D$11, 100%, $F$11)</f>
        <v>17.308</v>
      </c>
      <c r="F508" s="4">
        <f>17.9617 * CHOOSE(CONTROL!$C$15, $D$11, 100%, $F$11)</f>
        <v>17.9617</v>
      </c>
      <c r="G508" s="8">
        <f>16.9041 * CHOOSE( CONTROL!$C$15, $D$11, 100%, $F$11)</f>
        <v>16.9041</v>
      </c>
      <c r="H508" s="4">
        <f>17.778 * CHOOSE(CONTROL!$C$15, $D$11, 100%, $F$11)</f>
        <v>17.777999999999999</v>
      </c>
      <c r="I508" s="8">
        <f>16.7649 * CHOOSE(CONTROL!$C$15, $D$11, 100%, $F$11)</f>
        <v>16.764900000000001</v>
      </c>
      <c r="J508" s="4">
        <f>16.5933 * CHOOSE(CONTROL!$C$15, $D$11, 100%, $F$11)</f>
        <v>16.593299999999999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19.751300000000001</v>
      </c>
      <c r="R508" s="9"/>
      <c r="S508" s="11"/>
    </row>
    <row r="509" spans="1:19" ht="15.75">
      <c r="A509" s="13">
        <v>57010</v>
      </c>
      <c r="B509" s="8">
        <f>17.9717 * CHOOSE(CONTROL!$C$15, $D$11, 100%, $F$11)</f>
        <v>17.971699999999998</v>
      </c>
      <c r="C509" s="8">
        <f>17.9769 * CHOOSE(CONTROL!$C$15, $D$11, 100%, $F$11)</f>
        <v>17.976900000000001</v>
      </c>
      <c r="D509" s="8">
        <f>17.9594 * CHOOSE( CONTROL!$C$15, $D$11, 100%, $F$11)</f>
        <v>17.959399999999999</v>
      </c>
      <c r="E509" s="12">
        <f>17.9652 * CHOOSE( CONTROL!$C$15, $D$11, 100%, $F$11)</f>
        <v>17.965199999999999</v>
      </c>
      <c r="F509" s="4">
        <f>18.6222 * CHOOSE(CONTROL!$C$15, $D$11, 100%, $F$11)</f>
        <v>18.622199999999999</v>
      </c>
      <c r="G509" s="8">
        <f>17.5392 * CHOOSE( CONTROL!$C$15, $D$11, 100%, $F$11)</f>
        <v>17.539200000000001</v>
      </c>
      <c r="H509" s="4">
        <f>18.4231 * CHOOSE(CONTROL!$C$15, $D$11, 100%, $F$11)</f>
        <v>18.423100000000002</v>
      </c>
      <c r="I509" s="8">
        <f>17.3593 * CHOOSE(CONTROL!$C$15, $D$11, 100%, $F$11)</f>
        <v>17.359300000000001</v>
      </c>
      <c r="J509" s="4">
        <f>17.2275 * CHOOSE(CONTROL!$C$15, $D$11, 100%, $F$11)</f>
        <v>17.227499999999999</v>
      </c>
      <c r="K509" s="4"/>
      <c r="L509" s="9">
        <v>29.306000000000001</v>
      </c>
      <c r="M509" s="9">
        <v>12.063700000000001</v>
      </c>
      <c r="N509" s="9">
        <v>4.9444999999999997</v>
      </c>
      <c r="O509" s="9">
        <v>0.37409999999999999</v>
      </c>
      <c r="P509" s="9">
        <v>1.2927</v>
      </c>
      <c r="Q509" s="9">
        <v>19.688099999999999</v>
      </c>
      <c r="R509" s="9"/>
      <c r="S509" s="11"/>
    </row>
    <row r="510" spans="1:19" ht="15.75">
      <c r="A510" s="13">
        <v>57038</v>
      </c>
      <c r="B510" s="8">
        <f>16.8117 * CHOOSE(CONTROL!$C$15, $D$11, 100%, $F$11)</f>
        <v>16.811699999999998</v>
      </c>
      <c r="C510" s="8">
        <f>16.8169 * CHOOSE(CONTROL!$C$15, $D$11, 100%, $F$11)</f>
        <v>16.8169</v>
      </c>
      <c r="D510" s="8">
        <f>16.7993 * CHOOSE( CONTROL!$C$15, $D$11, 100%, $F$11)</f>
        <v>16.799299999999999</v>
      </c>
      <c r="E510" s="12">
        <f>16.8052 * CHOOSE( CONTROL!$C$15, $D$11, 100%, $F$11)</f>
        <v>16.805199999999999</v>
      </c>
      <c r="F510" s="4">
        <f>17.4622 * CHOOSE(CONTROL!$C$15, $D$11, 100%, $F$11)</f>
        <v>17.462199999999999</v>
      </c>
      <c r="G510" s="8">
        <f>16.4062 * CHOOSE( CONTROL!$C$15, $D$11, 100%, $F$11)</f>
        <v>16.406199999999998</v>
      </c>
      <c r="H510" s="4">
        <f>17.2902 * CHOOSE(CONTROL!$C$15, $D$11, 100%, $F$11)</f>
        <v>17.290199999999999</v>
      </c>
      <c r="I510" s="8">
        <f>16.2448 * CHOOSE(CONTROL!$C$15, $D$11, 100%, $F$11)</f>
        <v>16.244800000000001</v>
      </c>
      <c r="J510" s="4">
        <f>16.1138 * CHOOSE(CONTROL!$C$15, $D$11, 100%, $F$11)</f>
        <v>16.113800000000001</v>
      </c>
      <c r="K510" s="4"/>
      <c r="L510" s="9">
        <v>27.415299999999998</v>
      </c>
      <c r="M510" s="9">
        <v>11.285299999999999</v>
      </c>
      <c r="N510" s="9">
        <v>4.6254999999999997</v>
      </c>
      <c r="O510" s="9">
        <v>0.34989999999999999</v>
      </c>
      <c r="P510" s="9">
        <v>1.2093</v>
      </c>
      <c r="Q510" s="9">
        <v>18.417899999999999</v>
      </c>
      <c r="R510" s="9"/>
      <c r="S510" s="11"/>
    </row>
    <row r="511" spans="1:19" ht="15.75">
      <c r="A511" s="13">
        <v>57070</v>
      </c>
      <c r="B511" s="8">
        <f>16.4544 * CHOOSE(CONTROL!$C$15, $D$11, 100%, $F$11)</f>
        <v>16.4544</v>
      </c>
      <c r="C511" s="8">
        <f>16.4596 * CHOOSE(CONTROL!$C$15, $D$11, 100%, $F$11)</f>
        <v>16.459599999999998</v>
      </c>
      <c r="D511" s="8">
        <f>16.4416 * CHOOSE( CONTROL!$C$15, $D$11, 100%, $F$11)</f>
        <v>16.441600000000001</v>
      </c>
      <c r="E511" s="12">
        <f>16.4476 * CHOOSE( CONTROL!$C$15, $D$11, 100%, $F$11)</f>
        <v>16.447600000000001</v>
      </c>
      <c r="F511" s="4">
        <f>17.1049 * CHOOSE(CONTROL!$C$15, $D$11, 100%, $F$11)</f>
        <v>17.104900000000001</v>
      </c>
      <c r="G511" s="8">
        <f>16.0569 * CHOOSE( CONTROL!$C$15, $D$11, 100%, $F$11)</f>
        <v>16.056899999999999</v>
      </c>
      <c r="H511" s="4">
        <f>16.9412 * CHOOSE(CONTROL!$C$15, $D$11, 100%, $F$11)</f>
        <v>16.941199999999998</v>
      </c>
      <c r="I511" s="8">
        <f>15.9004 * CHOOSE(CONTROL!$C$15, $D$11, 100%, $F$11)</f>
        <v>15.900399999999999</v>
      </c>
      <c r="J511" s="4">
        <f>15.7707 * CHOOSE(CONTROL!$C$15, $D$11, 100%, $F$11)</f>
        <v>15.7707</v>
      </c>
      <c r="K511" s="4"/>
      <c r="L511" s="9">
        <v>29.306000000000001</v>
      </c>
      <c r="M511" s="9">
        <v>12.063700000000001</v>
      </c>
      <c r="N511" s="9">
        <v>4.9444999999999997</v>
      </c>
      <c r="O511" s="9">
        <v>0.37409999999999999</v>
      </c>
      <c r="P511" s="9">
        <v>1.2927</v>
      </c>
      <c r="Q511" s="9">
        <v>19.688099999999999</v>
      </c>
      <c r="R511" s="9"/>
      <c r="S511" s="11"/>
    </row>
    <row r="512" spans="1:19" ht="15.75">
      <c r="A512" s="13">
        <v>57100</v>
      </c>
      <c r="B512" s="8">
        <f>16.7049 * CHOOSE(CONTROL!$C$15, $D$11, 100%, $F$11)</f>
        <v>16.704899999999999</v>
      </c>
      <c r="C512" s="8">
        <f>16.7095 * CHOOSE(CONTROL!$C$15, $D$11, 100%, $F$11)</f>
        <v>16.709499999999998</v>
      </c>
      <c r="D512" s="8">
        <f>16.7406 * CHOOSE( CONTROL!$C$15, $D$11, 100%, $F$11)</f>
        <v>16.740600000000001</v>
      </c>
      <c r="E512" s="12">
        <f>16.7298 * CHOOSE( CONTROL!$C$15, $D$11, 100%, $F$11)</f>
        <v>16.729800000000001</v>
      </c>
      <c r="F512" s="4">
        <f>17.4186 * CHOOSE(CONTROL!$C$15, $D$11, 100%, $F$11)</f>
        <v>17.418600000000001</v>
      </c>
      <c r="G512" s="8">
        <f>16.3016 * CHOOSE( CONTROL!$C$15, $D$11, 100%, $F$11)</f>
        <v>16.301600000000001</v>
      </c>
      <c r="H512" s="4">
        <f>17.2476 * CHOOSE(CONTROL!$C$15, $D$11, 100%, $F$11)</f>
        <v>17.247599999999998</v>
      </c>
      <c r="I512" s="8">
        <f>16.1308 * CHOOSE(CONTROL!$C$15, $D$11, 100%, $F$11)</f>
        <v>16.130800000000001</v>
      </c>
      <c r="J512" s="4">
        <f>16.0104 * CHOOSE(CONTROL!$C$15, $D$11, 100%, $F$11)</f>
        <v>16.010400000000001</v>
      </c>
      <c r="K512" s="4"/>
      <c r="L512" s="9">
        <v>30.092199999999998</v>
      </c>
      <c r="M512" s="9">
        <v>11.6745</v>
      </c>
      <c r="N512" s="9">
        <v>4.7850000000000001</v>
      </c>
      <c r="O512" s="9">
        <v>0.36199999999999999</v>
      </c>
      <c r="P512" s="9">
        <v>1.1791</v>
      </c>
      <c r="Q512" s="9">
        <v>19.053000000000001</v>
      </c>
      <c r="R512" s="9"/>
      <c r="S512" s="11"/>
    </row>
    <row r="513" spans="1:19" ht="15.75">
      <c r="A513" s="13">
        <v>57131</v>
      </c>
      <c r="B513" s="8">
        <f>CHOOSE( CONTROL!$C$32, 17.1561, 17.1506) * CHOOSE(CONTROL!$C$15, $D$11, 100%, $F$11)</f>
        <v>17.156099999999999</v>
      </c>
      <c r="C513" s="8">
        <f>CHOOSE( CONTROL!$C$32, 17.1642, 17.1587) * CHOOSE(CONTROL!$C$15, $D$11, 100%, $F$11)</f>
        <v>17.164200000000001</v>
      </c>
      <c r="D513" s="8">
        <f>CHOOSE( CONTROL!$C$32, 17.1902, 17.1846) * CHOOSE( CONTROL!$C$15, $D$11, 100%, $F$11)</f>
        <v>17.190200000000001</v>
      </c>
      <c r="E513" s="12">
        <f>CHOOSE( CONTROL!$C$32, 17.1795, 17.174) * CHOOSE( CONTROL!$C$15, $D$11, 100%, $F$11)</f>
        <v>17.179500000000001</v>
      </c>
      <c r="F513" s="4">
        <f>CHOOSE( CONTROL!$C$32, 17.8685, 17.863) * CHOOSE(CONTROL!$C$15, $D$11, 100%, $F$11)</f>
        <v>17.868500000000001</v>
      </c>
      <c r="G513" s="8">
        <f>CHOOSE( CONTROL!$C$32, 16.7422, 16.7367) * CHOOSE( CONTROL!$C$15, $D$11, 100%, $F$11)</f>
        <v>16.7422</v>
      </c>
      <c r="H513" s="4">
        <f>CHOOSE( CONTROL!$C$32, 17.687, 17.6816) * CHOOSE(CONTROL!$C$15, $D$11, 100%, $F$11)</f>
        <v>17.687000000000001</v>
      </c>
      <c r="I513" s="8">
        <f>CHOOSE( CONTROL!$C$32, 16.5629, 16.5575) * CHOOSE(CONTROL!$C$15, $D$11, 100%, $F$11)</f>
        <v>16.562899999999999</v>
      </c>
      <c r="J513" s="4">
        <f>CHOOSE( CONTROL!$C$32, 16.4424, 16.437) * CHOOSE(CONTROL!$C$15, $D$11, 100%, $F$11)</f>
        <v>16.442399999999999</v>
      </c>
      <c r="K513" s="4"/>
      <c r="L513" s="9">
        <v>30.7165</v>
      </c>
      <c r="M513" s="9">
        <v>12.063700000000001</v>
      </c>
      <c r="N513" s="9">
        <v>4.9444999999999997</v>
      </c>
      <c r="O513" s="9">
        <v>0.37409999999999999</v>
      </c>
      <c r="P513" s="9">
        <v>1.2183999999999999</v>
      </c>
      <c r="Q513" s="9">
        <v>19.688099999999999</v>
      </c>
      <c r="R513" s="9"/>
      <c r="S513" s="11"/>
    </row>
    <row r="514" spans="1:19" ht="15.75">
      <c r="A514" s="13">
        <v>57161</v>
      </c>
      <c r="B514" s="8">
        <f>CHOOSE( CONTROL!$C$32, 16.8809, 16.8753) * CHOOSE(CONTROL!$C$15, $D$11, 100%, $F$11)</f>
        <v>16.8809</v>
      </c>
      <c r="C514" s="8">
        <f>CHOOSE( CONTROL!$C$32, 16.889, 16.8834) * CHOOSE(CONTROL!$C$15, $D$11, 100%, $F$11)</f>
        <v>16.888999999999999</v>
      </c>
      <c r="D514" s="8">
        <f>CHOOSE( CONTROL!$C$32, 16.9151, 16.9095) * CHOOSE( CONTROL!$C$15, $D$11, 100%, $F$11)</f>
        <v>16.915099999999999</v>
      </c>
      <c r="E514" s="12">
        <f>CHOOSE( CONTROL!$C$32, 16.9044, 16.8988) * CHOOSE( CONTROL!$C$15, $D$11, 100%, $F$11)</f>
        <v>16.904399999999999</v>
      </c>
      <c r="F514" s="4">
        <f>CHOOSE( CONTROL!$C$32, 17.5933, 17.5877) * CHOOSE(CONTROL!$C$15, $D$11, 100%, $F$11)</f>
        <v>17.593299999999999</v>
      </c>
      <c r="G514" s="8">
        <f>CHOOSE( CONTROL!$C$32, 16.4736, 16.4681) * CHOOSE( CONTROL!$C$15, $D$11, 100%, $F$11)</f>
        <v>16.473600000000001</v>
      </c>
      <c r="H514" s="4">
        <f>CHOOSE( CONTROL!$C$32, 17.4182, 17.4128) * CHOOSE(CONTROL!$C$15, $D$11, 100%, $F$11)</f>
        <v>17.418199999999999</v>
      </c>
      <c r="I514" s="8">
        <f>CHOOSE( CONTROL!$C$32, 16.2993, 16.2939) * CHOOSE(CONTROL!$C$15, $D$11, 100%, $F$11)</f>
        <v>16.299299999999999</v>
      </c>
      <c r="J514" s="4">
        <f>CHOOSE( CONTROL!$C$32, 16.1781, 16.1728) * CHOOSE(CONTROL!$C$15, $D$11, 100%, $F$11)</f>
        <v>16.178100000000001</v>
      </c>
      <c r="K514" s="4"/>
      <c r="L514" s="9">
        <v>29.7257</v>
      </c>
      <c r="M514" s="9">
        <v>11.6745</v>
      </c>
      <c r="N514" s="9">
        <v>4.7850000000000001</v>
      </c>
      <c r="O514" s="9">
        <v>0.36199999999999999</v>
      </c>
      <c r="P514" s="9">
        <v>1.1791</v>
      </c>
      <c r="Q514" s="9">
        <v>19.053000000000001</v>
      </c>
      <c r="R514" s="9"/>
      <c r="S514" s="11"/>
    </row>
    <row r="515" spans="1:19" ht="15.75">
      <c r="A515" s="13">
        <v>57192</v>
      </c>
      <c r="B515" s="8">
        <f>CHOOSE( CONTROL!$C$32, 17.6057, 17.6002) * CHOOSE(CONTROL!$C$15, $D$11, 100%, $F$11)</f>
        <v>17.605699999999999</v>
      </c>
      <c r="C515" s="8">
        <f>CHOOSE( CONTROL!$C$32, 17.6138, 17.6082) * CHOOSE(CONTROL!$C$15, $D$11, 100%, $F$11)</f>
        <v>17.613800000000001</v>
      </c>
      <c r="D515" s="8">
        <f>CHOOSE( CONTROL!$C$32, 17.6402, 17.6346) * CHOOSE( CONTROL!$C$15, $D$11, 100%, $F$11)</f>
        <v>17.6402</v>
      </c>
      <c r="E515" s="12">
        <f>CHOOSE( CONTROL!$C$32, 17.6294, 17.6238) * CHOOSE( CONTROL!$C$15, $D$11, 100%, $F$11)</f>
        <v>17.6294</v>
      </c>
      <c r="F515" s="4">
        <f>CHOOSE( CONTROL!$C$32, 18.3181, 18.3126) * CHOOSE(CONTROL!$C$15, $D$11, 100%, $F$11)</f>
        <v>18.318100000000001</v>
      </c>
      <c r="G515" s="8">
        <f>CHOOSE( CONTROL!$C$32, 17.1818, 17.1764) * CHOOSE( CONTROL!$C$15, $D$11, 100%, $F$11)</f>
        <v>17.181799999999999</v>
      </c>
      <c r="H515" s="4">
        <f>CHOOSE( CONTROL!$C$32, 18.1261, 18.1207) * CHOOSE(CONTROL!$C$15, $D$11, 100%, $F$11)</f>
        <v>18.126100000000001</v>
      </c>
      <c r="I515" s="8">
        <f>CHOOSE( CONTROL!$C$32, 16.9965, 16.9912) * CHOOSE(CONTROL!$C$15, $D$11, 100%, $F$11)</f>
        <v>16.996500000000001</v>
      </c>
      <c r="J515" s="4">
        <f>CHOOSE( CONTROL!$C$32, 16.874, 16.8687) * CHOOSE(CONTROL!$C$15, $D$11, 100%, $F$11)</f>
        <v>16.873999999999999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1.2183999999999999</v>
      </c>
      <c r="Q515" s="9">
        <v>19.688099999999999</v>
      </c>
      <c r="R515" s="9"/>
      <c r="S515" s="11"/>
    </row>
    <row r="516" spans="1:19" ht="15.75">
      <c r="A516" s="13">
        <v>57223</v>
      </c>
      <c r="B516" s="8">
        <f>CHOOSE( CONTROL!$C$32, 16.2495, 16.2439) * CHOOSE(CONTROL!$C$15, $D$11, 100%, $F$11)</f>
        <v>16.249500000000001</v>
      </c>
      <c r="C516" s="8">
        <f>CHOOSE( CONTROL!$C$32, 16.2576, 16.252) * CHOOSE(CONTROL!$C$15, $D$11, 100%, $F$11)</f>
        <v>16.2576</v>
      </c>
      <c r="D516" s="8">
        <f>CHOOSE( CONTROL!$C$32, 16.284, 16.2784) * CHOOSE( CONTROL!$C$15, $D$11, 100%, $F$11)</f>
        <v>16.283999999999999</v>
      </c>
      <c r="E516" s="12">
        <f>CHOOSE( CONTROL!$C$32, 16.2732, 16.2676) * CHOOSE( CONTROL!$C$15, $D$11, 100%, $F$11)</f>
        <v>16.273199999999999</v>
      </c>
      <c r="F516" s="4">
        <f>CHOOSE( CONTROL!$C$32, 16.9619, 16.9563) * CHOOSE(CONTROL!$C$15, $D$11, 100%, $F$11)</f>
        <v>16.9619</v>
      </c>
      <c r="G516" s="8">
        <f>CHOOSE( CONTROL!$C$32, 15.8573, 15.8518) * CHOOSE( CONTROL!$C$15, $D$11, 100%, $F$11)</f>
        <v>15.8573</v>
      </c>
      <c r="H516" s="4">
        <f>CHOOSE( CONTROL!$C$32, 16.8015, 16.796) * CHOOSE(CONTROL!$C$15, $D$11, 100%, $F$11)</f>
        <v>16.801500000000001</v>
      </c>
      <c r="I516" s="8">
        <f>CHOOSE( CONTROL!$C$32, 15.694, 15.6887) * CHOOSE(CONTROL!$C$15, $D$11, 100%, $F$11)</f>
        <v>15.694000000000001</v>
      </c>
      <c r="J516" s="4">
        <f>CHOOSE( CONTROL!$C$32, 15.5719, 15.5666) * CHOOSE(CONTROL!$C$15, $D$11, 100%, $F$11)</f>
        <v>15.571899999999999</v>
      </c>
      <c r="K516" s="4"/>
      <c r="L516" s="9">
        <v>30.7165</v>
      </c>
      <c r="M516" s="9">
        <v>12.063700000000001</v>
      </c>
      <c r="N516" s="9">
        <v>4.9444999999999997</v>
      </c>
      <c r="O516" s="9">
        <v>0.37409999999999999</v>
      </c>
      <c r="P516" s="9">
        <v>1.2183999999999999</v>
      </c>
      <c r="Q516" s="9">
        <v>19.688099999999999</v>
      </c>
      <c r="R516" s="9"/>
      <c r="S516" s="11"/>
    </row>
    <row r="517" spans="1:19" ht="15.75">
      <c r="A517" s="13">
        <v>57253</v>
      </c>
      <c r="B517" s="8">
        <f>CHOOSE( CONTROL!$C$32, 15.9099, 15.9043) * CHOOSE(CONTROL!$C$15, $D$11, 100%, $F$11)</f>
        <v>15.9099</v>
      </c>
      <c r="C517" s="8">
        <f>CHOOSE( CONTROL!$C$32, 15.9179, 15.9124) * CHOOSE(CONTROL!$C$15, $D$11, 100%, $F$11)</f>
        <v>15.917899999999999</v>
      </c>
      <c r="D517" s="8">
        <f>CHOOSE( CONTROL!$C$32, 15.9443, 15.9387) * CHOOSE( CONTROL!$C$15, $D$11, 100%, $F$11)</f>
        <v>15.9443</v>
      </c>
      <c r="E517" s="12">
        <f>CHOOSE( CONTROL!$C$32, 15.9335, 15.9279) * CHOOSE( CONTROL!$C$15, $D$11, 100%, $F$11)</f>
        <v>15.9335</v>
      </c>
      <c r="F517" s="4">
        <f>CHOOSE( CONTROL!$C$32, 16.6222, 16.6167) * CHOOSE(CONTROL!$C$15, $D$11, 100%, $F$11)</f>
        <v>16.622199999999999</v>
      </c>
      <c r="G517" s="8">
        <f>CHOOSE( CONTROL!$C$32, 15.5255, 15.52) * CHOOSE( CONTROL!$C$15, $D$11, 100%, $F$11)</f>
        <v>15.525499999999999</v>
      </c>
      <c r="H517" s="4">
        <f>CHOOSE( CONTROL!$C$32, 16.4698, 16.4643) * CHOOSE(CONTROL!$C$15, $D$11, 100%, $F$11)</f>
        <v>16.469799999999999</v>
      </c>
      <c r="I517" s="8">
        <f>CHOOSE( CONTROL!$C$32, 15.3675, 15.3622) * CHOOSE(CONTROL!$C$15, $D$11, 100%, $F$11)</f>
        <v>15.3675</v>
      </c>
      <c r="J517" s="4">
        <f>CHOOSE( CONTROL!$C$32, 15.2458, 15.2405) * CHOOSE(CONTROL!$C$15, $D$11, 100%, $F$11)</f>
        <v>15.245799999999999</v>
      </c>
      <c r="K517" s="4"/>
      <c r="L517" s="9">
        <v>29.7257</v>
      </c>
      <c r="M517" s="9">
        <v>11.6745</v>
      </c>
      <c r="N517" s="9">
        <v>4.7850000000000001</v>
      </c>
      <c r="O517" s="9">
        <v>0.36199999999999999</v>
      </c>
      <c r="P517" s="9">
        <v>1.1791</v>
      </c>
      <c r="Q517" s="9">
        <v>19.053000000000001</v>
      </c>
      <c r="R517" s="9"/>
      <c r="S517" s="11"/>
    </row>
    <row r="518" spans="1:19" ht="15.75">
      <c r="A518" s="13">
        <v>57284</v>
      </c>
      <c r="B518" s="8">
        <f>16.6077 * CHOOSE(CONTROL!$C$15, $D$11, 100%, $F$11)</f>
        <v>16.607700000000001</v>
      </c>
      <c r="C518" s="8">
        <f>16.6132 * CHOOSE(CONTROL!$C$15, $D$11, 100%, $F$11)</f>
        <v>16.613199999999999</v>
      </c>
      <c r="D518" s="8">
        <f>16.6444 * CHOOSE( CONTROL!$C$15, $D$11, 100%, $F$11)</f>
        <v>16.644400000000001</v>
      </c>
      <c r="E518" s="12">
        <f>16.6335 * CHOOSE( CONTROL!$C$15, $D$11, 100%, $F$11)</f>
        <v>16.633500000000002</v>
      </c>
      <c r="F518" s="4">
        <f>17.3219 * CHOOSE(CONTROL!$C$15, $D$11, 100%, $F$11)</f>
        <v>17.321899999999999</v>
      </c>
      <c r="G518" s="8">
        <f>16.2079 * CHOOSE( CONTROL!$C$15, $D$11, 100%, $F$11)</f>
        <v>16.207899999999999</v>
      </c>
      <c r="H518" s="4">
        <f>17.1531 * CHOOSE(CONTROL!$C$15, $D$11, 100%, $F$11)</f>
        <v>17.153099999999998</v>
      </c>
      <c r="I518" s="8">
        <f>16.0404 * CHOOSE(CONTROL!$C$15, $D$11, 100%, $F$11)</f>
        <v>16.040400000000002</v>
      </c>
      <c r="J518" s="4">
        <f>15.9175 * CHOOSE(CONTROL!$C$15, $D$11, 100%, $F$11)</f>
        <v>15.9175</v>
      </c>
      <c r="K518" s="4"/>
      <c r="L518" s="9">
        <v>31.095300000000002</v>
      </c>
      <c r="M518" s="9">
        <v>12.063700000000001</v>
      </c>
      <c r="N518" s="9">
        <v>4.9444999999999997</v>
      </c>
      <c r="O518" s="9">
        <v>0.37409999999999999</v>
      </c>
      <c r="P518" s="9">
        <v>1.2183999999999999</v>
      </c>
      <c r="Q518" s="9">
        <v>19.688099999999999</v>
      </c>
      <c r="R518" s="9"/>
      <c r="S518" s="11"/>
    </row>
    <row r="519" spans="1:19" ht="15.75">
      <c r="A519" s="13">
        <v>57314</v>
      </c>
      <c r="B519" s="8">
        <f>17.9089 * CHOOSE(CONTROL!$C$15, $D$11, 100%, $F$11)</f>
        <v>17.908899999999999</v>
      </c>
      <c r="C519" s="8">
        <f>17.9141 * CHOOSE(CONTROL!$C$15, $D$11, 100%, $F$11)</f>
        <v>17.914100000000001</v>
      </c>
      <c r="D519" s="8">
        <f>17.9003 * CHOOSE( CONTROL!$C$15, $D$11, 100%, $F$11)</f>
        <v>17.900300000000001</v>
      </c>
      <c r="E519" s="12">
        <f>17.9048 * CHOOSE( CONTROL!$C$15, $D$11, 100%, $F$11)</f>
        <v>17.904800000000002</v>
      </c>
      <c r="F519" s="4">
        <f>18.5594 * CHOOSE(CONTROL!$C$15, $D$11, 100%, $F$11)</f>
        <v>18.5594</v>
      </c>
      <c r="G519" s="8">
        <f>17.4868 * CHOOSE( CONTROL!$C$15, $D$11, 100%, $F$11)</f>
        <v>17.486799999999999</v>
      </c>
      <c r="H519" s="4">
        <f>18.3618 * CHOOSE(CONTROL!$C$15, $D$11, 100%, $F$11)</f>
        <v>18.361799999999999</v>
      </c>
      <c r="I519" s="8">
        <f>17.3343 * CHOOSE(CONTROL!$C$15, $D$11, 100%, $F$11)</f>
        <v>17.334299999999999</v>
      </c>
      <c r="J519" s="4">
        <f>17.1672 * CHOOSE(CONTROL!$C$15, $D$11, 100%, $F$11)</f>
        <v>17.167200000000001</v>
      </c>
      <c r="K519" s="4"/>
      <c r="L519" s="9">
        <v>28.360600000000002</v>
      </c>
      <c r="M519" s="9">
        <v>11.6745</v>
      </c>
      <c r="N519" s="9">
        <v>4.7850000000000001</v>
      </c>
      <c r="O519" s="9">
        <v>0.36199999999999999</v>
      </c>
      <c r="P519" s="9">
        <v>1.2509999999999999</v>
      </c>
      <c r="Q519" s="9">
        <v>19.053000000000001</v>
      </c>
      <c r="R519" s="9"/>
      <c r="S519" s="11"/>
    </row>
    <row r="520" spans="1:19" ht="15.75">
      <c r="A520" s="13">
        <v>57345</v>
      </c>
      <c r="B520" s="8">
        <f>17.8764 * CHOOSE(CONTROL!$C$15, $D$11, 100%, $F$11)</f>
        <v>17.8764</v>
      </c>
      <c r="C520" s="8">
        <f>17.8816 * CHOOSE(CONTROL!$C$15, $D$11, 100%, $F$11)</f>
        <v>17.881599999999999</v>
      </c>
      <c r="D520" s="8">
        <f>17.8693 * CHOOSE( CONTROL!$C$15, $D$11, 100%, $F$11)</f>
        <v>17.869299999999999</v>
      </c>
      <c r="E520" s="12">
        <f>17.8732 * CHOOSE( CONTROL!$C$15, $D$11, 100%, $F$11)</f>
        <v>17.873200000000001</v>
      </c>
      <c r="F520" s="4">
        <f>18.5269 * CHOOSE(CONTROL!$C$15, $D$11, 100%, $F$11)</f>
        <v>18.526900000000001</v>
      </c>
      <c r="G520" s="8">
        <f>17.4561 * CHOOSE( CONTROL!$C$15, $D$11, 100%, $F$11)</f>
        <v>17.456099999999999</v>
      </c>
      <c r="H520" s="4">
        <f>18.33 * CHOOSE(CONTROL!$C$15, $D$11, 100%, $F$11)</f>
        <v>18.329999999999998</v>
      </c>
      <c r="I520" s="8">
        <f>17.3079 * CHOOSE(CONTROL!$C$15, $D$11, 100%, $F$11)</f>
        <v>17.3079</v>
      </c>
      <c r="J520" s="4">
        <f>17.136 * CHOOSE(CONTROL!$C$15, $D$11, 100%, $F$11)</f>
        <v>17.135999999999999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19.688099999999999</v>
      </c>
      <c r="R520" s="9"/>
      <c r="S520" s="11"/>
    </row>
    <row r="521" spans="1:19" ht="15.75">
      <c r="A521" s="13">
        <v>57376</v>
      </c>
      <c r="B521" s="8">
        <f>18.5586 * CHOOSE(CONTROL!$C$15, $D$11, 100%, $F$11)</f>
        <v>18.558599999999998</v>
      </c>
      <c r="C521" s="8">
        <f>18.5637 * CHOOSE(CONTROL!$C$15, $D$11, 100%, $F$11)</f>
        <v>18.563700000000001</v>
      </c>
      <c r="D521" s="8">
        <f>18.5462 * CHOOSE( CONTROL!$C$15, $D$11, 100%, $F$11)</f>
        <v>18.546199999999999</v>
      </c>
      <c r="E521" s="12">
        <f>18.5521 * CHOOSE( CONTROL!$C$15, $D$11, 100%, $F$11)</f>
        <v>18.552099999999999</v>
      </c>
      <c r="F521" s="4">
        <f>19.209 * CHOOSE(CONTROL!$C$15, $D$11, 100%, $F$11)</f>
        <v>19.209</v>
      </c>
      <c r="G521" s="8">
        <f>18.1123 * CHOOSE( CONTROL!$C$15, $D$11, 100%, $F$11)</f>
        <v>18.112300000000001</v>
      </c>
      <c r="H521" s="4">
        <f>18.9963 * CHOOSE(CONTROL!$C$15, $D$11, 100%, $F$11)</f>
        <v>18.996300000000002</v>
      </c>
      <c r="I521" s="8">
        <f>17.923 * CHOOSE(CONTROL!$C$15, $D$11, 100%, $F$11)</f>
        <v>17.922999999999998</v>
      </c>
      <c r="J521" s="4">
        <f>17.7909 * CHOOSE(CONTROL!$C$15, $D$11, 100%, $F$11)</f>
        <v>17.790900000000001</v>
      </c>
      <c r="K521" s="4"/>
      <c r="L521" s="9">
        <v>29.306000000000001</v>
      </c>
      <c r="M521" s="9">
        <v>12.063700000000001</v>
      </c>
      <c r="N521" s="9">
        <v>4.9444999999999997</v>
      </c>
      <c r="O521" s="9">
        <v>0.37409999999999999</v>
      </c>
      <c r="P521" s="9">
        <v>1.2927</v>
      </c>
      <c r="Q521" s="9">
        <v>19.688099999999999</v>
      </c>
      <c r="R521" s="9"/>
      <c r="S521" s="11"/>
    </row>
    <row r="522" spans="1:19" ht="15.75">
      <c r="A522" s="13">
        <v>57404</v>
      </c>
      <c r="B522" s="8">
        <f>17.3606 * CHOOSE(CONTROL!$C$15, $D$11, 100%, $F$11)</f>
        <v>17.360600000000002</v>
      </c>
      <c r="C522" s="8">
        <f>17.3658 * CHOOSE(CONTROL!$C$15, $D$11, 100%, $F$11)</f>
        <v>17.3658</v>
      </c>
      <c r="D522" s="8">
        <f>17.3482 * CHOOSE( CONTROL!$C$15, $D$11, 100%, $F$11)</f>
        <v>17.348199999999999</v>
      </c>
      <c r="E522" s="12">
        <f>17.3541 * CHOOSE( CONTROL!$C$15, $D$11, 100%, $F$11)</f>
        <v>17.354099999999999</v>
      </c>
      <c r="F522" s="4">
        <f>18.0111 * CHOOSE(CONTROL!$C$15, $D$11, 100%, $F$11)</f>
        <v>18.011099999999999</v>
      </c>
      <c r="G522" s="8">
        <f>16.9423 * CHOOSE( CONTROL!$C$15, $D$11, 100%, $F$11)</f>
        <v>16.942299999999999</v>
      </c>
      <c r="H522" s="4">
        <f>17.8262 * CHOOSE(CONTROL!$C$15, $D$11, 100%, $F$11)</f>
        <v>17.8262</v>
      </c>
      <c r="I522" s="8">
        <f>16.7721 * CHOOSE(CONTROL!$C$15, $D$11, 100%, $F$11)</f>
        <v>16.772099999999998</v>
      </c>
      <c r="J522" s="4">
        <f>16.6407 * CHOOSE(CONTROL!$C$15, $D$11, 100%, $F$11)</f>
        <v>16.640699999999999</v>
      </c>
      <c r="K522" s="4"/>
      <c r="L522" s="9">
        <v>26.469899999999999</v>
      </c>
      <c r="M522" s="9">
        <v>10.8962</v>
      </c>
      <c r="N522" s="9">
        <v>4.4660000000000002</v>
      </c>
      <c r="O522" s="9">
        <v>0.33789999999999998</v>
      </c>
      <c r="P522" s="9">
        <v>1.1676</v>
      </c>
      <c r="Q522" s="9">
        <v>17.782800000000002</v>
      </c>
      <c r="R522" s="9"/>
      <c r="S522" s="11"/>
    </row>
    <row r="523" spans="1:19" ht="15.75">
      <c r="A523" s="13">
        <v>57435</v>
      </c>
      <c r="B523" s="8">
        <f>16.9916 * CHOOSE(CONTROL!$C$15, $D$11, 100%, $F$11)</f>
        <v>16.991599999999998</v>
      </c>
      <c r="C523" s="8">
        <f>16.9968 * CHOOSE(CONTROL!$C$15, $D$11, 100%, $F$11)</f>
        <v>16.9968</v>
      </c>
      <c r="D523" s="8">
        <f>16.9788 * CHOOSE( CONTROL!$C$15, $D$11, 100%, $F$11)</f>
        <v>16.9788</v>
      </c>
      <c r="E523" s="12">
        <f>16.9848 * CHOOSE( CONTROL!$C$15, $D$11, 100%, $F$11)</f>
        <v>16.9848</v>
      </c>
      <c r="F523" s="4">
        <f>17.6421 * CHOOSE(CONTROL!$C$15, $D$11, 100%, $F$11)</f>
        <v>17.642099999999999</v>
      </c>
      <c r="G523" s="8">
        <f>16.5816 * CHOOSE( CONTROL!$C$15, $D$11, 100%, $F$11)</f>
        <v>16.581600000000002</v>
      </c>
      <c r="H523" s="4">
        <f>17.4659 * CHOOSE(CONTROL!$C$15, $D$11, 100%, $F$11)</f>
        <v>17.465900000000001</v>
      </c>
      <c r="I523" s="8">
        <f>16.4165 * CHOOSE(CONTROL!$C$15, $D$11, 100%, $F$11)</f>
        <v>16.416499999999999</v>
      </c>
      <c r="J523" s="4">
        <f>16.2865 * CHOOSE(CONTROL!$C$15, $D$11, 100%, $F$11)</f>
        <v>16.2865</v>
      </c>
      <c r="K523" s="4"/>
      <c r="L523" s="9">
        <v>29.306000000000001</v>
      </c>
      <c r="M523" s="9">
        <v>12.063700000000001</v>
      </c>
      <c r="N523" s="9">
        <v>4.9444999999999997</v>
      </c>
      <c r="O523" s="9">
        <v>0.37409999999999999</v>
      </c>
      <c r="P523" s="9">
        <v>1.2927</v>
      </c>
      <c r="Q523" s="9">
        <v>19.688099999999999</v>
      </c>
      <c r="R523" s="9"/>
      <c r="S523" s="11"/>
    </row>
    <row r="524" spans="1:19" ht="15.75">
      <c r="A524" s="13">
        <v>57465</v>
      </c>
      <c r="B524" s="8">
        <f>17.2502 * CHOOSE(CONTROL!$C$15, $D$11, 100%, $F$11)</f>
        <v>17.2502</v>
      </c>
      <c r="C524" s="8">
        <f>17.2549 * CHOOSE(CONTROL!$C$15, $D$11, 100%, $F$11)</f>
        <v>17.254899999999999</v>
      </c>
      <c r="D524" s="8">
        <f>17.286 * CHOOSE( CONTROL!$C$15, $D$11, 100%, $F$11)</f>
        <v>17.286000000000001</v>
      </c>
      <c r="E524" s="12">
        <f>17.2752 * CHOOSE( CONTROL!$C$15, $D$11, 100%, $F$11)</f>
        <v>17.275200000000002</v>
      </c>
      <c r="F524" s="4">
        <f>17.964 * CHOOSE(CONTROL!$C$15, $D$11, 100%, $F$11)</f>
        <v>17.963999999999999</v>
      </c>
      <c r="G524" s="8">
        <f>16.8343 * CHOOSE( CONTROL!$C$15, $D$11, 100%, $F$11)</f>
        <v>16.834299999999999</v>
      </c>
      <c r="H524" s="4">
        <f>17.7803 * CHOOSE(CONTROL!$C$15, $D$11, 100%, $F$11)</f>
        <v>17.7803</v>
      </c>
      <c r="I524" s="8">
        <f>16.6546 * CHOOSE(CONTROL!$C$15, $D$11, 100%, $F$11)</f>
        <v>16.654599999999999</v>
      </c>
      <c r="J524" s="4">
        <f>16.534 * CHOOSE(CONTROL!$C$15, $D$11, 100%, $F$11)</f>
        <v>16.533999999999999</v>
      </c>
      <c r="K524" s="4"/>
      <c r="L524" s="9">
        <v>30.092199999999998</v>
      </c>
      <c r="M524" s="9">
        <v>11.6745</v>
      </c>
      <c r="N524" s="9">
        <v>4.7850000000000001</v>
      </c>
      <c r="O524" s="9">
        <v>0.36199999999999999</v>
      </c>
      <c r="P524" s="9">
        <v>1.1791</v>
      </c>
      <c r="Q524" s="9">
        <v>19.053000000000001</v>
      </c>
      <c r="R524" s="9"/>
      <c r="S524" s="11"/>
    </row>
    <row r="525" spans="1:19" ht="15.75">
      <c r="A525" s="13">
        <v>57496</v>
      </c>
      <c r="B525" s="8">
        <f>CHOOSE( CONTROL!$C$32, 17.716, 17.7105) * CHOOSE(CONTROL!$C$15, $D$11, 100%, $F$11)</f>
        <v>17.716000000000001</v>
      </c>
      <c r="C525" s="8">
        <f>CHOOSE( CONTROL!$C$32, 17.7241, 17.7186) * CHOOSE(CONTROL!$C$15, $D$11, 100%, $F$11)</f>
        <v>17.7241</v>
      </c>
      <c r="D525" s="8">
        <f>CHOOSE( CONTROL!$C$32, 17.7501, 17.7445) * CHOOSE( CONTROL!$C$15, $D$11, 100%, $F$11)</f>
        <v>17.7501</v>
      </c>
      <c r="E525" s="12">
        <f>CHOOSE( CONTROL!$C$32, 17.7394, 17.7339) * CHOOSE( CONTROL!$C$15, $D$11, 100%, $F$11)</f>
        <v>17.7394</v>
      </c>
      <c r="F525" s="4">
        <f>CHOOSE( CONTROL!$C$32, 18.4284, 18.4229) * CHOOSE(CONTROL!$C$15, $D$11, 100%, $F$11)</f>
        <v>18.4284</v>
      </c>
      <c r="G525" s="8">
        <f>CHOOSE( CONTROL!$C$32, 17.289, 17.2836) * CHOOSE( CONTROL!$C$15, $D$11, 100%, $F$11)</f>
        <v>17.289000000000001</v>
      </c>
      <c r="H525" s="4">
        <f>CHOOSE( CONTROL!$C$32, 18.2339, 18.2284) * CHOOSE(CONTROL!$C$15, $D$11, 100%, $F$11)</f>
        <v>18.233899999999998</v>
      </c>
      <c r="I525" s="8">
        <f>CHOOSE( CONTROL!$C$32, 17.1007, 17.0954) * CHOOSE(CONTROL!$C$15, $D$11, 100%, $F$11)</f>
        <v>17.1007</v>
      </c>
      <c r="J525" s="4">
        <f>CHOOSE( CONTROL!$C$32, 16.9799, 16.9746) * CHOOSE(CONTROL!$C$15, $D$11, 100%, $F$11)</f>
        <v>16.979900000000001</v>
      </c>
      <c r="K525" s="4"/>
      <c r="L525" s="9">
        <v>30.7165</v>
      </c>
      <c r="M525" s="9">
        <v>12.063700000000001</v>
      </c>
      <c r="N525" s="9">
        <v>4.9444999999999997</v>
      </c>
      <c r="O525" s="9">
        <v>0.37409999999999999</v>
      </c>
      <c r="P525" s="9">
        <v>1.2183999999999999</v>
      </c>
      <c r="Q525" s="9">
        <v>19.688099999999999</v>
      </c>
      <c r="R525" s="9"/>
      <c r="S525" s="11"/>
    </row>
    <row r="526" spans="1:19" ht="15.75">
      <c r="A526" s="13">
        <v>57526</v>
      </c>
      <c r="B526" s="8">
        <f>CHOOSE( CONTROL!$C$32, 17.4318, 17.4262) * CHOOSE(CONTROL!$C$15, $D$11, 100%, $F$11)</f>
        <v>17.431799999999999</v>
      </c>
      <c r="C526" s="8">
        <f>CHOOSE( CONTROL!$C$32, 17.4399, 17.4343) * CHOOSE(CONTROL!$C$15, $D$11, 100%, $F$11)</f>
        <v>17.439900000000002</v>
      </c>
      <c r="D526" s="8">
        <f>CHOOSE( CONTROL!$C$32, 17.466, 17.4604) * CHOOSE( CONTROL!$C$15, $D$11, 100%, $F$11)</f>
        <v>17.466000000000001</v>
      </c>
      <c r="E526" s="12">
        <f>CHOOSE( CONTROL!$C$32, 17.4553, 17.4497) * CHOOSE( CONTROL!$C$15, $D$11, 100%, $F$11)</f>
        <v>17.455300000000001</v>
      </c>
      <c r="F526" s="4">
        <f>CHOOSE( CONTROL!$C$32, 18.1442, 18.1386) * CHOOSE(CONTROL!$C$15, $D$11, 100%, $F$11)</f>
        <v>18.144200000000001</v>
      </c>
      <c r="G526" s="8">
        <f>CHOOSE( CONTROL!$C$32, 17.0116, 17.0062) * CHOOSE( CONTROL!$C$15, $D$11, 100%, $F$11)</f>
        <v>17.011600000000001</v>
      </c>
      <c r="H526" s="4">
        <f>CHOOSE( CONTROL!$C$32, 17.9562, 17.9508) * CHOOSE(CONTROL!$C$15, $D$11, 100%, $F$11)</f>
        <v>17.956199999999999</v>
      </c>
      <c r="I526" s="8">
        <f>CHOOSE( CONTROL!$C$32, 16.8285, 16.8231) * CHOOSE(CONTROL!$C$15, $D$11, 100%, $F$11)</f>
        <v>16.828499999999998</v>
      </c>
      <c r="J526" s="4">
        <f>CHOOSE( CONTROL!$C$32, 16.707, 16.7017) * CHOOSE(CONTROL!$C$15, $D$11, 100%, $F$11)</f>
        <v>16.707000000000001</v>
      </c>
      <c r="K526" s="4"/>
      <c r="L526" s="9">
        <v>29.7257</v>
      </c>
      <c r="M526" s="9">
        <v>11.6745</v>
      </c>
      <c r="N526" s="9">
        <v>4.7850000000000001</v>
      </c>
      <c r="O526" s="9">
        <v>0.36199999999999999</v>
      </c>
      <c r="P526" s="9">
        <v>1.1791</v>
      </c>
      <c r="Q526" s="9">
        <v>19.053000000000001</v>
      </c>
      <c r="R526" s="9"/>
      <c r="S526" s="11"/>
    </row>
    <row r="527" spans="1:19" ht="15.75">
      <c r="A527" s="13">
        <v>57557</v>
      </c>
      <c r="B527" s="8">
        <f>CHOOSE( CONTROL!$C$32, 18.1803, 18.1748) * CHOOSE(CONTROL!$C$15, $D$11, 100%, $F$11)</f>
        <v>18.180299999999999</v>
      </c>
      <c r="C527" s="8">
        <f>CHOOSE( CONTROL!$C$32, 18.1884, 18.1828) * CHOOSE(CONTROL!$C$15, $D$11, 100%, $F$11)</f>
        <v>18.188400000000001</v>
      </c>
      <c r="D527" s="8">
        <f>CHOOSE( CONTROL!$C$32, 18.2148, 18.2092) * CHOOSE( CONTROL!$C$15, $D$11, 100%, $F$11)</f>
        <v>18.2148</v>
      </c>
      <c r="E527" s="12">
        <f>CHOOSE( CONTROL!$C$32, 18.204, 18.1984) * CHOOSE( CONTROL!$C$15, $D$11, 100%, $F$11)</f>
        <v>18.204000000000001</v>
      </c>
      <c r="F527" s="4">
        <f>CHOOSE( CONTROL!$C$32, 18.8927, 18.8872) * CHOOSE(CONTROL!$C$15, $D$11, 100%, $F$11)</f>
        <v>18.892700000000001</v>
      </c>
      <c r="G527" s="8">
        <f>CHOOSE( CONTROL!$C$32, 17.743, 17.7376) * CHOOSE( CONTROL!$C$15, $D$11, 100%, $F$11)</f>
        <v>17.742999999999999</v>
      </c>
      <c r="H527" s="4">
        <f>CHOOSE( CONTROL!$C$32, 18.6874, 18.6819) * CHOOSE(CONTROL!$C$15, $D$11, 100%, $F$11)</f>
        <v>18.6874</v>
      </c>
      <c r="I527" s="8">
        <f>CHOOSE( CONTROL!$C$32, 17.5485, 17.5431) * CHOOSE(CONTROL!$C$15, $D$11, 100%, $F$11)</f>
        <v>17.548500000000001</v>
      </c>
      <c r="J527" s="4">
        <f>CHOOSE( CONTROL!$C$32, 17.4257, 17.4204) * CHOOSE(CONTROL!$C$15, $D$11, 100%, $F$11)</f>
        <v>17.425699999999999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1.2183999999999999</v>
      </c>
      <c r="Q527" s="9">
        <v>19.688099999999999</v>
      </c>
      <c r="R527" s="9"/>
      <c r="S527" s="11"/>
    </row>
    <row r="528" spans="1:19" ht="15.75">
      <c r="A528" s="13">
        <v>57588</v>
      </c>
      <c r="B528" s="8">
        <f>CHOOSE( CONTROL!$C$32, 16.7797, 16.7742) * CHOOSE(CONTROL!$C$15, $D$11, 100%, $F$11)</f>
        <v>16.779699999999998</v>
      </c>
      <c r="C528" s="8">
        <f>CHOOSE( CONTROL!$C$32, 16.7878, 16.7822) * CHOOSE(CONTROL!$C$15, $D$11, 100%, $F$11)</f>
        <v>16.787800000000001</v>
      </c>
      <c r="D528" s="8">
        <f>CHOOSE( CONTROL!$C$32, 16.8142, 16.8086) * CHOOSE( CONTROL!$C$15, $D$11, 100%, $F$11)</f>
        <v>16.8142</v>
      </c>
      <c r="E528" s="12">
        <f>CHOOSE( CONTROL!$C$32, 16.8034, 16.7978) * CHOOSE( CONTROL!$C$15, $D$11, 100%, $F$11)</f>
        <v>16.8034</v>
      </c>
      <c r="F528" s="4">
        <f>CHOOSE( CONTROL!$C$32, 17.4921, 17.4865) * CHOOSE(CONTROL!$C$15, $D$11, 100%, $F$11)</f>
        <v>17.492100000000001</v>
      </c>
      <c r="G528" s="8">
        <f>CHOOSE( CONTROL!$C$32, 16.3752, 16.3697) * CHOOSE( CONTROL!$C$15, $D$11, 100%, $F$11)</f>
        <v>16.3752</v>
      </c>
      <c r="H528" s="4">
        <f>CHOOSE( CONTROL!$C$32, 17.3194, 17.3139) * CHOOSE(CONTROL!$C$15, $D$11, 100%, $F$11)</f>
        <v>17.319400000000002</v>
      </c>
      <c r="I528" s="8">
        <f>CHOOSE( CONTROL!$C$32, 16.2033, 16.198) * CHOOSE(CONTROL!$C$15, $D$11, 100%, $F$11)</f>
        <v>16.203299999999999</v>
      </c>
      <c r="J528" s="4">
        <f>CHOOSE( CONTROL!$C$32, 16.081, 16.0756) * CHOOSE(CONTROL!$C$15, $D$11, 100%, $F$11)</f>
        <v>16.081</v>
      </c>
      <c r="K528" s="4"/>
      <c r="L528" s="9">
        <v>30.7165</v>
      </c>
      <c r="M528" s="9">
        <v>12.063700000000001</v>
      </c>
      <c r="N528" s="9">
        <v>4.9444999999999997</v>
      </c>
      <c r="O528" s="9">
        <v>0.37409999999999999</v>
      </c>
      <c r="P528" s="9">
        <v>1.2183999999999999</v>
      </c>
      <c r="Q528" s="9">
        <v>19.688099999999999</v>
      </c>
      <c r="R528" s="9"/>
      <c r="S528" s="11"/>
    </row>
    <row r="529" spans="1:19" ht="15.75">
      <c r="A529" s="13">
        <v>57618</v>
      </c>
      <c r="B529" s="8">
        <f>CHOOSE( CONTROL!$C$32, 16.429, 16.4234) * CHOOSE(CONTROL!$C$15, $D$11, 100%, $F$11)</f>
        <v>16.428999999999998</v>
      </c>
      <c r="C529" s="8">
        <f>CHOOSE( CONTROL!$C$32, 16.4371, 16.4315) * CHOOSE(CONTROL!$C$15, $D$11, 100%, $F$11)</f>
        <v>16.437100000000001</v>
      </c>
      <c r="D529" s="8">
        <f>CHOOSE( CONTROL!$C$32, 16.4634, 16.4579) * CHOOSE( CONTROL!$C$15, $D$11, 100%, $F$11)</f>
        <v>16.4634</v>
      </c>
      <c r="E529" s="12">
        <f>CHOOSE( CONTROL!$C$32, 16.4526, 16.4471) * CHOOSE( CONTROL!$C$15, $D$11, 100%, $F$11)</f>
        <v>16.4526</v>
      </c>
      <c r="F529" s="4">
        <f>CHOOSE( CONTROL!$C$32, 17.1414, 17.1358) * CHOOSE(CONTROL!$C$15, $D$11, 100%, $F$11)</f>
        <v>17.141400000000001</v>
      </c>
      <c r="G529" s="8">
        <f>CHOOSE( CONTROL!$C$32, 16.0325, 16.0271) * CHOOSE( CONTROL!$C$15, $D$11, 100%, $F$11)</f>
        <v>16.032499999999999</v>
      </c>
      <c r="H529" s="4">
        <f>CHOOSE( CONTROL!$C$32, 16.9768, 16.9714) * CHOOSE(CONTROL!$C$15, $D$11, 100%, $F$11)</f>
        <v>16.976800000000001</v>
      </c>
      <c r="I529" s="8">
        <f>CHOOSE( CONTROL!$C$32, 15.8662, 15.8609) * CHOOSE(CONTROL!$C$15, $D$11, 100%, $F$11)</f>
        <v>15.866199999999999</v>
      </c>
      <c r="J529" s="4">
        <f>CHOOSE( CONTROL!$C$32, 15.7442, 15.7389) * CHOOSE(CONTROL!$C$15, $D$11, 100%, $F$11)</f>
        <v>15.744199999999999</v>
      </c>
      <c r="K529" s="4"/>
      <c r="L529" s="9">
        <v>29.7257</v>
      </c>
      <c r="M529" s="9">
        <v>11.6745</v>
      </c>
      <c r="N529" s="9">
        <v>4.7850000000000001</v>
      </c>
      <c r="O529" s="9">
        <v>0.36199999999999999</v>
      </c>
      <c r="P529" s="9">
        <v>1.1791</v>
      </c>
      <c r="Q529" s="9">
        <v>19.053000000000001</v>
      </c>
      <c r="R529" s="9"/>
      <c r="S529" s="11"/>
    </row>
    <row r="530" spans="1:19" ht="15.75">
      <c r="A530" s="13">
        <v>57649</v>
      </c>
      <c r="B530" s="8">
        <f>17.1499 * CHOOSE(CONTROL!$C$15, $D$11, 100%, $F$11)</f>
        <v>17.149899999999999</v>
      </c>
      <c r="C530" s="8">
        <f>17.1554 * CHOOSE(CONTROL!$C$15, $D$11, 100%, $F$11)</f>
        <v>17.1554</v>
      </c>
      <c r="D530" s="8">
        <f>17.1866 * CHOOSE( CONTROL!$C$15, $D$11, 100%, $F$11)</f>
        <v>17.186599999999999</v>
      </c>
      <c r="E530" s="12">
        <f>17.1757 * CHOOSE( CONTROL!$C$15, $D$11, 100%, $F$11)</f>
        <v>17.175699999999999</v>
      </c>
      <c r="F530" s="4">
        <f>17.864 * CHOOSE(CONTROL!$C$15, $D$11, 100%, $F$11)</f>
        <v>17.864000000000001</v>
      </c>
      <c r="G530" s="8">
        <f>16.7375 * CHOOSE( CONTROL!$C$15, $D$11, 100%, $F$11)</f>
        <v>16.737500000000001</v>
      </c>
      <c r="H530" s="4">
        <f>17.6826 * CHOOSE(CONTROL!$C$15, $D$11, 100%, $F$11)</f>
        <v>17.682600000000001</v>
      </c>
      <c r="I530" s="8">
        <f>16.5612 * CHOOSE(CONTROL!$C$15, $D$11, 100%, $F$11)</f>
        <v>16.561199999999999</v>
      </c>
      <c r="J530" s="4">
        <f>16.4381 * CHOOSE(CONTROL!$C$15, $D$11, 100%, $F$11)</f>
        <v>16.438099999999999</v>
      </c>
      <c r="K530" s="4"/>
      <c r="L530" s="9">
        <v>31.095300000000002</v>
      </c>
      <c r="M530" s="9">
        <v>12.063700000000001</v>
      </c>
      <c r="N530" s="9">
        <v>4.9444999999999997</v>
      </c>
      <c r="O530" s="9">
        <v>0.37409999999999999</v>
      </c>
      <c r="P530" s="9">
        <v>1.2183999999999999</v>
      </c>
      <c r="Q530" s="9">
        <v>19.688099999999999</v>
      </c>
      <c r="R530" s="9"/>
      <c r="S530" s="11"/>
    </row>
    <row r="531" spans="1:19" ht="15.75">
      <c r="A531" s="13">
        <v>57679</v>
      </c>
      <c r="B531" s="8">
        <f>18.4937 * CHOOSE(CONTROL!$C$15, $D$11, 100%, $F$11)</f>
        <v>18.4937</v>
      </c>
      <c r="C531" s="8">
        <f>18.4989 * CHOOSE(CONTROL!$C$15, $D$11, 100%, $F$11)</f>
        <v>18.498899999999999</v>
      </c>
      <c r="D531" s="8">
        <f>18.4851 * CHOOSE( CONTROL!$C$15, $D$11, 100%, $F$11)</f>
        <v>18.485099999999999</v>
      </c>
      <c r="E531" s="12">
        <f>18.4896 * CHOOSE( CONTROL!$C$15, $D$11, 100%, $F$11)</f>
        <v>18.489599999999999</v>
      </c>
      <c r="F531" s="4">
        <f>19.1442 * CHOOSE(CONTROL!$C$15, $D$11, 100%, $F$11)</f>
        <v>19.144200000000001</v>
      </c>
      <c r="G531" s="8">
        <f>18.0579 * CHOOSE( CONTROL!$C$15, $D$11, 100%, $F$11)</f>
        <v>18.0579</v>
      </c>
      <c r="H531" s="4">
        <f>18.9329 * CHOOSE(CONTROL!$C$15, $D$11, 100%, $F$11)</f>
        <v>18.9329</v>
      </c>
      <c r="I531" s="8">
        <f>17.8961 * CHOOSE(CONTROL!$C$15, $D$11, 100%, $F$11)</f>
        <v>17.896100000000001</v>
      </c>
      <c r="J531" s="4">
        <f>17.7286 * CHOOSE(CONTROL!$C$15, $D$11, 100%, $F$11)</f>
        <v>17.7286</v>
      </c>
      <c r="K531" s="4"/>
      <c r="L531" s="9">
        <v>28.360600000000002</v>
      </c>
      <c r="M531" s="9">
        <v>11.6745</v>
      </c>
      <c r="N531" s="9">
        <v>4.7850000000000001</v>
      </c>
      <c r="O531" s="9">
        <v>0.36199999999999999</v>
      </c>
      <c r="P531" s="9">
        <v>1.2509999999999999</v>
      </c>
      <c r="Q531" s="9">
        <v>19.053000000000001</v>
      </c>
      <c r="R531" s="9"/>
      <c r="S531" s="11"/>
    </row>
    <row r="532" spans="1:19" ht="15.75">
      <c r="A532" s="13">
        <v>57710</v>
      </c>
      <c r="B532" s="8">
        <f>18.4601 * CHOOSE(CONTROL!$C$15, $D$11, 100%, $F$11)</f>
        <v>18.460100000000001</v>
      </c>
      <c r="C532" s="8">
        <f>18.4653 * CHOOSE(CONTROL!$C$15, $D$11, 100%, $F$11)</f>
        <v>18.465299999999999</v>
      </c>
      <c r="D532" s="8">
        <f>18.453 * CHOOSE( CONTROL!$C$15, $D$11, 100%, $F$11)</f>
        <v>18.452999999999999</v>
      </c>
      <c r="E532" s="12">
        <f>18.4569 * CHOOSE( CONTROL!$C$15, $D$11, 100%, $F$11)</f>
        <v>18.456900000000001</v>
      </c>
      <c r="F532" s="4">
        <f>19.1106 * CHOOSE(CONTROL!$C$15, $D$11, 100%, $F$11)</f>
        <v>19.110600000000002</v>
      </c>
      <c r="G532" s="8">
        <f>18.0262 * CHOOSE( CONTROL!$C$15, $D$11, 100%, $F$11)</f>
        <v>18.026199999999999</v>
      </c>
      <c r="H532" s="4">
        <f>18.9001 * CHOOSE(CONTROL!$C$15, $D$11, 100%, $F$11)</f>
        <v>18.900099999999998</v>
      </c>
      <c r="I532" s="8">
        <f>17.8686 * CHOOSE(CONTROL!$C$15, $D$11, 100%, $F$11)</f>
        <v>17.868600000000001</v>
      </c>
      <c r="J532" s="4">
        <f>17.6964 * CHOOSE(CONTROL!$C$15, $D$11, 100%, $F$11)</f>
        <v>17.696400000000001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57741</v>
      </c>
      <c r="B533" s="8">
        <f>19.1646 * CHOOSE(CONTROL!$C$15, $D$11, 100%, $F$11)</f>
        <v>19.1646</v>
      </c>
      <c r="C533" s="8">
        <f>19.1698 * CHOOSE(CONTROL!$C$15, $D$11, 100%, $F$11)</f>
        <v>19.169799999999999</v>
      </c>
      <c r="D533" s="8">
        <f>19.1522 * CHOOSE( CONTROL!$C$15, $D$11, 100%, $F$11)</f>
        <v>19.152200000000001</v>
      </c>
      <c r="E533" s="12">
        <f>19.1581 * CHOOSE( CONTROL!$C$15, $D$11, 100%, $F$11)</f>
        <v>19.158100000000001</v>
      </c>
      <c r="F533" s="4">
        <f>19.815 * CHOOSE(CONTROL!$C$15, $D$11, 100%, $F$11)</f>
        <v>19.815000000000001</v>
      </c>
      <c r="G533" s="8">
        <f>18.7042 * CHOOSE( CONTROL!$C$15, $D$11, 100%, $F$11)</f>
        <v>18.7042</v>
      </c>
      <c r="H533" s="4">
        <f>19.5882 * CHOOSE(CONTROL!$C$15, $D$11, 100%, $F$11)</f>
        <v>19.588200000000001</v>
      </c>
      <c r="I533" s="8">
        <f>18.5051 * CHOOSE(CONTROL!$C$15, $D$11, 100%, $F$11)</f>
        <v>18.505099999999999</v>
      </c>
      <c r="J533" s="4">
        <f>18.3727 * CHOOSE(CONTROL!$C$15, $D$11, 100%, $F$11)</f>
        <v>18.372699999999998</v>
      </c>
      <c r="K533" s="4"/>
      <c r="L533" s="9">
        <v>29.306000000000001</v>
      </c>
      <c r="M533" s="9">
        <v>12.063700000000001</v>
      </c>
      <c r="N533" s="9">
        <v>4.9444999999999997</v>
      </c>
      <c r="O533" s="9">
        <v>0.37409999999999999</v>
      </c>
      <c r="P533" s="9">
        <v>1.2927</v>
      </c>
      <c r="Q533" s="9">
        <v>19.688099999999999</v>
      </c>
      <c r="R533" s="9"/>
      <c r="S533" s="11"/>
    </row>
    <row r="534" spans="1:19" ht="15.75">
      <c r="A534" s="13">
        <v>57769</v>
      </c>
      <c r="B534" s="8">
        <f>17.9274 * CHOOSE(CONTROL!$C$15, $D$11, 100%, $F$11)</f>
        <v>17.927399999999999</v>
      </c>
      <c r="C534" s="8">
        <f>17.9326 * CHOOSE(CONTROL!$C$15, $D$11, 100%, $F$11)</f>
        <v>17.932600000000001</v>
      </c>
      <c r="D534" s="8">
        <f>17.915 * CHOOSE( CONTROL!$C$15, $D$11, 100%, $F$11)</f>
        <v>17.914999999999999</v>
      </c>
      <c r="E534" s="12">
        <f>17.9209 * CHOOSE( CONTROL!$C$15, $D$11, 100%, $F$11)</f>
        <v>17.9209</v>
      </c>
      <c r="F534" s="4">
        <f>18.5779 * CHOOSE(CONTROL!$C$15, $D$11, 100%, $F$11)</f>
        <v>18.5779</v>
      </c>
      <c r="G534" s="8">
        <f>17.4959 * CHOOSE( CONTROL!$C$15, $D$11, 100%, $F$11)</f>
        <v>17.495899999999999</v>
      </c>
      <c r="H534" s="4">
        <f>18.3799 * CHOOSE(CONTROL!$C$15, $D$11, 100%, $F$11)</f>
        <v>18.379899999999999</v>
      </c>
      <c r="I534" s="8">
        <f>17.3166 * CHOOSE(CONTROL!$C$15, $D$11, 100%, $F$11)</f>
        <v>17.316600000000001</v>
      </c>
      <c r="J534" s="4">
        <f>17.185 * CHOOSE(CONTROL!$C$15, $D$11, 100%, $F$11)</f>
        <v>17.184999999999999</v>
      </c>
      <c r="K534" s="4"/>
      <c r="L534" s="9">
        <v>26.469899999999999</v>
      </c>
      <c r="M534" s="9">
        <v>10.8962</v>
      </c>
      <c r="N534" s="9">
        <v>4.4660000000000002</v>
      </c>
      <c r="O534" s="9">
        <v>0.33789999999999998</v>
      </c>
      <c r="P534" s="9">
        <v>1.1676</v>
      </c>
      <c r="Q534" s="9">
        <v>17.782800000000002</v>
      </c>
      <c r="R534" s="9"/>
      <c r="S534" s="11"/>
    </row>
    <row r="535" spans="1:19" ht="15.75">
      <c r="A535" s="13">
        <v>57800</v>
      </c>
      <c r="B535" s="8">
        <f>17.5464 * CHOOSE(CONTROL!$C$15, $D$11, 100%, $F$11)</f>
        <v>17.546399999999998</v>
      </c>
      <c r="C535" s="8">
        <f>17.5516 * CHOOSE(CONTROL!$C$15, $D$11, 100%, $F$11)</f>
        <v>17.551600000000001</v>
      </c>
      <c r="D535" s="8">
        <f>17.5336 * CHOOSE( CONTROL!$C$15, $D$11, 100%, $F$11)</f>
        <v>17.5336</v>
      </c>
      <c r="E535" s="12">
        <f>17.5396 * CHOOSE( CONTROL!$C$15, $D$11, 100%, $F$11)</f>
        <v>17.5396</v>
      </c>
      <c r="F535" s="4">
        <f>18.1969 * CHOOSE(CONTROL!$C$15, $D$11, 100%, $F$11)</f>
        <v>18.196899999999999</v>
      </c>
      <c r="G535" s="8">
        <f>17.1235 * CHOOSE( CONTROL!$C$15, $D$11, 100%, $F$11)</f>
        <v>17.1235</v>
      </c>
      <c r="H535" s="4">
        <f>18.0077 * CHOOSE(CONTROL!$C$15, $D$11, 100%, $F$11)</f>
        <v>18.0077</v>
      </c>
      <c r="I535" s="8">
        <f>16.9494 * CHOOSE(CONTROL!$C$15, $D$11, 100%, $F$11)</f>
        <v>16.949400000000001</v>
      </c>
      <c r="J535" s="4">
        <f>16.8191 * CHOOSE(CONTROL!$C$15, $D$11, 100%, $F$11)</f>
        <v>16.819099999999999</v>
      </c>
      <c r="K535" s="4"/>
      <c r="L535" s="9">
        <v>29.306000000000001</v>
      </c>
      <c r="M535" s="9">
        <v>12.063700000000001</v>
      </c>
      <c r="N535" s="9">
        <v>4.9444999999999997</v>
      </c>
      <c r="O535" s="9">
        <v>0.37409999999999999</v>
      </c>
      <c r="P535" s="9">
        <v>1.2927</v>
      </c>
      <c r="Q535" s="9">
        <v>19.688099999999999</v>
      </c>
      <c r="R535" s="9"/>
      <c r="S535" s="11"/>
    </row>
    <row r="536" spans="1:19" ht="15.75">
      <c r="A536" s="13">
        <v>57830</v>
      </c>
      <c r="B536" s="8">
        <f>17.8134 * CHOOSE(CONTROL!$C$15, $D$11, 100%, $F$11)</f>
        <v>17.813400000000001</v>
      </c>
      <c r="C536" s="8">
        <f>17.818 * CHOOSE(CONTROL!$C$15, $D$11, 100%, $F$11)</f>
        <v>17.818000000000001</v>
      </c>
      <c r="D536" s="8">
        <f>17.8492 * CHOOSE( CONTROL!$C$15, $D$11, 100%, $F$11)</f>
        <v>17.8492</v>
      </c>
      <c r="E536" s="12">
        <f>17.8384 * CHOOSE( CONTROL!$C$15, $D$11, 100%, $F$11)</f>
        <v>17.8384</v>
      </c>
      <c r="F536" s="4">
        <f>18.5272 * CHOOSE(CONTROL!$C$15, $D$11, 100%, $F$11)</f>
        <v>18.527200000000001</v>
      </c>
      <c r="G536" s="8">
        <f>17.3844 * CHOOSE( CONTROL!$C$15, $D$11, 100%, $F$11)</f>
        <v>17.384399999999999</v>
      </c>
      <c r="H536" s="4">
        <f>18.3303 * CHOOSE(CONTROL!$C$15, $D$11, 100%, $F$11)</f>
        <v>18.330300000000001</v>
      </c>
      <c r="I536" s="8">
        <f>17.1956 * CHOOSE(CONTROL!$C$15, $D$11, 100%, $F$11)</f>
        <v>17.195599999999999</v>
      </c>
      <c r="J536" s="4">
        <f>17.0748 * CHOOSE(CONTROL!$C$15, $D$11, 100%, $F$11)</f>
        <v>17.0748</v>
      </c>
      <c r="K536" s="4"/>
      <c r="L536" s="9">
        <v>30.092199999999998</v>
      </c>
      <c r="M536" s="9">
        <v>11.6745</v>
      </c>
      <c r="N536" s="9">
        <v>4.7850000000000001</v>
      </c>
      <c r="O536" s="9">
        <v>0.36199999999999999</v>
      </c>
      <c r="P536" s="9">
        <v>1.1791</v>
      </c>
      <c r="Q536" s="9">
        <v>19.053000000000001</v>
      </c>
      <c r="R536" s="9"/>
      <c r="S536" s="11"/>
    </row>
    <row r="537" spans="1:19" ht="15.75">
      <c r="A537" s="13">
        <v>57861</v>
      </c>
      <c r="B537" s="8">
        <f>CHOOSE( CONTROL!$C$32, 18.2942, 18.2887) * CHOOSE(CONTROL!$C$15, $D$11, 100%, $F$11)</f>
        <v>18.2942</v>
      </c>
      <c r="C537" s="8">
        <f>CHOOSE( CONTROL!$C$32, 18.3023, 18.2968) * CHOOSE(CONTROL!$C$15, $D$11, 100%, $F$11)</f>
        <v>18.302299999999999</v>
      </c>
      <c r="D537" s="8">
        <f>CHOOSE( CONTROL!$C$32, 18.3283, 18.3227) * CHOOSE( CONTROL!$C$15, $D$11, 100%, $F$11)</f>
        <v>18.328299999999999</v>
      </c>
      <c r="E537" s="12">
        <f>CHOOSE( CONTROL!$C$32, 18.3176, 18.3121) * CHOOSE( CONTROL!$C$15, $D$11, 100%, $F$11)</f>
        <v>18.317599999999999</v>
      </c>
      <c r="F537" s="4">
        <f>CHOOSE( CONTROL!$C$32, 19.0066, 19.0011) * CHOOSE(CONTROL!$C$15, $D$11, 100%, $F$11)</f>
        <v>19.006599999999999</v>
      </c>
      <c r="G537" s="8">
        <f>CHOOSE( CONTROL!$C$32, 17.8537, 17.8483) * CHOOSE( CONTROL!$C$15, $D$11, 100%, $F$11)</f>
        <v>17.8537</v>
      </c>
      <c r="H537" s="4">
        <f>CHOOSE( CONTROL!$C$32, 18.7986, 18.7932) * CHOOSE(CONTROL!$C$15, $D$11, 100%, $F$11)</f>
        <v>18.7986</v>
      </c>
      <c r="I537" s="8">
        <f>CHOOSE( CONTROL!$C$32, 17.6561, 17.6508) * CHOOSE(CONTROL!$C$15, $D$11, 100%, $F$11)</f>
        <v>17.656099999999999</v>
      </c>
      <c r="J537" s="4">
        <f>CHOOSE( CONTROL!$C$32, 17.5351, 17.5297) * CHOOSE(CONTROL!$C$15, $D$11, 100%, $F$11)</f>
        <v>17.5351</v>
      </c>
      <c r="K537" s="4"/>
      <c r="L537" s="9">
        <v>30.7165</v>
      </c>
      <c r="M537" s="9">
        <v>12.063700000000001</v>
      </c>
      <c r="N537" s="9">
        <v>4.9444999999999997</v>
      </c>
      <c r="O537" s="9">
        <v>0.37409999999999999</v>
      </c>
      <c r="P537" s="9">
        <v>1.2183999999999999</v>
      </c>
      <c r="Q537" s="9">
        <v>19.688099999999999</v>
      </c>
      <c r="R537" s="9"/>
      <c r="S537" s="11"/>
    </row>
    <row r="538" spans="1:19" ht="15.75">
      <c r="A538" s="13">
        <v>57891</v>
      </c>
      <c r="B538" s="8">
        <f>CHOOSE( CONTROL!$C$32, 18.0007, 17.9951) * CHOOSE(CONTROL!$C$15, $D$11, 100%, $F$11)</f>
        <v>18.000699999999998</v>
      </c>
      <c r="C538" s="8">
        <f>CHOOSE( CONTROL!$C$32, 18.0088, 18.0032) * CHOOSE(CONTROL!$C$15, $D$11, 100%, $F$11)</f>
        <v>18.008800000000001</v>
      </c>
      <c r="D538" s="8">
        <f>CHOOSE( CONTROL!$C$32, 18.0349, 18.0293) * CHOOSE( CONTROL!$C$15, $D$11, 100%, $F$11)</f>
        <v>18.0349</v>
      </c>
      <c r="E538" s="12">
        <f>CHOOSE( CONTROL!$C$32, 18.0242, 18.0186) * CHOOSE( CONTROL!$C$15, $D$11, 100%, $F$11)</f>
        <v>18.0242</v>
      </c>
      <c r="F538" s="4">
        <f>CHOOSE( CONTROL!$C$32, 18.7131, 18.7075) * CHOOSE(CONTROL!$C$15, $D$11, 100%, $F$11)</f>
        <v>18.713100000000001</v>
      </c>
      <c r="G538" s="8">
        <f>CHOOSE( CONTROL!$C$32, 17.5673, 17.5619) * CHOOSE( CONTROL!$C$15, $D$11, 100%, $F$11)</f>
        <v>17.567299999999999</v>
      </c>
      <c r="H538" s="4">
        <f>CHOOSE( CONTROL!$C$32, 18.5119, 18.5065) * CHOOSE(CONTROL!$C$15, $D$11, 100%, $F$11)</f>
        <v>18.511900000000001</v>
      </c>
      <c r="I538" s="8">
        <f>CHOOSE( CONTROL!$C$32, 17.3749, 17.3696) * CHOOSE(CONTROL!$C$15, $D$11, 100%, $F$11)</f>
        <v>17.3749</v>
      </c>
      <c r="J538" s="4">
        <f>CHOOSE( CONTROL!$C$32, 17.2532, 17.2479) * CHOOSE(CONTROL!$C$15, $D$11, 100%, $F$11)</f>
        <v>17.2532</v>
      </c>
      <c r="K538" s="4"/>
      <c r="L538" s="9">
        <v>29.7257</v>
      </c>
      <c r="M538" s="9">
        <v>11.6745</v>
      </c>
      <c r="N538" s="9">
        <v>4.7850000000000001</v>
      </c>
      <c r="O538" s="9">
        <v>0.36199999999999999</v>
      </c>
      <c r="P538" s="9">
        <v>1.1791</v>
      </c>
      <c r="Q538" s="9">
        <v>19.053000000000001</v>
      </c>
      <c r="R538" s="9"/>
      <c r="S538" s="11"/>
    </row>
    <row r="539" spans="1:19" ht="15.75">
      <c r="A539" s="13">
        <v>57922</v>
      </c>
      <c r="B539" s="8">
        <f>CHOOSE( CONTROL!$C$32, 18.7737, 18.7681) * CHOOSE(CONTROL!$C$15, $D$11, 100%, $F$11)</f>
        <v>18.773700000000002</v>
      </c>
      <c r="C539" s="8">
        <f>CHOOSE( CONTROL!$C$32, 18.7818, 18.7762) * CHOOSE(CONTROL!$C$15, $D$11, 100%, $F$11)</f>
        <v>18.7818</v>
      </c>
      <c r="D539" s="8">
        <f>CHOOSE( CONTROL!$C$32, 18.8081, 18.8026) * CHOOSE( CONTROL!$C$15, $D$11, 100%, $F$11)</f>
        <v>18.8081</v>
      </c>
      <c r="E539" s="12">
        <f>CHOOSE( CONTROL!$C$32, 18.7973, 18.7918) * CHOOSE( CONTROL!$C$15, $D$11, 100%, $F$11)</f>
        <v>18.7973</v>
      </c>
      <c r="F539" s="4">
        <f>CHOOSE( CONTROL!$C$32, 19.4861, 19.4805) * CHOOSE(CONTROL!$C$15, $D$11, 100%, $F$11)</f>
        <v>19.4861</v>
      </c>
      <c r="G539" s="8">
        <f>CHOOSE( CONTROL!$C$32, 18.3226, 18.3172) * CHOOSE( CONTROL!$C$15, $D$11, 100%, $F$11)</f>
        <v>18.322600000000001</v>
      </c>
      <c r="H539" s="4">
        <f>CHOOSE( CONTROL!$C$32, 19.2669, 19.2615) * CHOOSE(CONTROL!$C$15, $D$11, 100%, $F$11)</f>
        <v>19.2669</v>
      </c>
      <c r="I539" s="8">
        <f>CHOOSE( CONTROL!$C$32, 18.1184, 18.1131) * CHOOSE(CONTROL!$C$15, $D$11, 100%, $F$11)</f>
        <v>18.118400000000001</v>
      </c>
      <c r="J539" s="4">
        <f>CHOOSE( CONTROL!$C$32, 17.9954, 17.9901) * CHOOSE(CONTROL!$C$15, $D$11, 100%, $F$11)</f>
        <v>17.9954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1.2183999999999999</v>
      </c>
      <c r="Q539" s="9">
        <v>19.688099999999999</v>
      </c>
      <c r="R539" s="9"/>
      <c r="S539" s="11"/>
    </row>
    <row r="540" spans="1:19" ht="15.75">
      <c r="A540" s="13">
        <v>57953</v>
      </c>
      <c r="B540" s="8">
        <f>CHOOSE( CONTROL!$C$32, 17.3273, 17.3217) * CHOOSE(CONTROL!$C$15, $D$11, 100%, $F$11)</f>
        <v>17.327300000000001</v>
      </c>
      <c r="C540" s="8">
        <f>CHOOSE( CONTROL!$C$32, 17.3354, 17.3298) * CHOOSE(CONTROL!$C$15, $D$11, 100%, $F$11)</f>
        <v>17.3354</v>
      </c>
      <c r="D540" s="8">
        <f>CHOOSE( CONTROL!$C$32, 17.3618, 17.3562) * CHOOSE( CONTROL!$C$15, $D$11, 100%, $F$11)</f>
        <v>17.361799999999999</v>
      </c>
      <c r="E540" s="12">
        <f>CHOOSE( CONTROL!$C$32, 17.351, 17.3454) * CHOOSE( CONTROL!$C$15, $D$11, 100%, $F$11)</f>
        <v>17.350999999999999</v>
      </c>
      <c r="F540" s="4">
        <f>CHOOSE( CONTROL!$C$32, 18.0397, 18.0341) * CHOOSE(CONTROL!$C$15, $D$11, 100%, $F$11)</f>
        <v>18.0397</v>
      </c>
      <c r="G540" s="8">
        <f>CHOOSE( CONTROL!$C$32, 16.91, 16.9045) * CHOOSE( CONTROL!$C$15, $D$11, 100%, $F$11)</f>
        <v>16.91</v>
      </c>
      <c r="H540" s="4">
        <f>CHOOSE( CONTROL!$C$32, 17.8542, 17.8488) * CHOOSE(CONTROL!$C$15, $D$11, 100%, $F$11)</f>
        <v>17.854199999999999</v>
      </c>
      <c r="I540" s="8">
        <f>CHOOSE( CONTROL!$C$32, 16.7293, 16.724) * CHOOSE(CONTROL!$C$15, $D$11, 100%, $F$11)</f>
        <v>16.729299999999999</v>
      </c>
      <c r="J540" s="4">
        <f>CHOOSE( CONTROL!$C$32, 16.6067, 16.6014) * CHOOSE(CONTROL!$C$15, $D$11, 100%, $F$11)</f>
        <v>16.6067</v>
      </c>
      <c r="K540" s="4"/>
      <c r="L540" s="9">
        <v>30.7165</v>
      </c>
      <c r="M540" s="9">
        <v>12.063700000000001</v>
      </c>
      <c r="N540" s="9">
        <v>4.9444999999999997</v>
      </c>
      <c r="O540" s="9">
        <v>0.37409999999999999</v>
      </c>
      <c r="P540" s="9">
        <v>1.2183999999999999</v>
      </c>
      <c r="Q540" s="9">
        <v>19.688099999999999</v>
      </c>
      <c r="R540" s="9"/>
      <c r="S540" s="11"/>
    </row>
    <row r="541" spans="1:19" ht="15.75">
      <c r="A541" s="13">
        <v>57983</v>
      </c>
      <c r="B541" s="8">
        <f>CHOOSE( CONTROL!$C$32, 16.9651, 16.9595) * CHOOSE(CONTROL!$C$15, $D$11, 100%, $F$11)</f>
        <v>16.9651</v>
      </c>
      <c r="C541" s="8">
        <f>CHOOSE( CONTROL!$C$32, 16.9732, 16.9676) * CHOOSE(CONTROL!$C$15, $D$11, 100%, $F$11)</f>
        <v>16.973199999999999</v>
      </c>
      <c r="D541" s="8">
        <f>CHOOSE( CONTROL!$C$32, 16.9995, 16.994) * CHOOSE( CONTROL!$C$15, $D$11, 100%, $F$11)</f>
        <v>16.999500000000001</v>
      </c>
      <c r="E541" s="12">
        <f>CHOOSE( CONTROL!$C$32, 16.9887, 16.9832) * CHOOSE( CONTROL!$C$15, $D$11, 100%, $F$11)</f>
        <v>16.988700000000001</v>
      </c>
      <c r="F541" s="4">
        <f>CHOOSE( CONTROL!$C$32, 17.6775, 17.6719) * CHOOSE(CONTROL!$C$15, $D$11, 100%, $F$11)</f>
        <v>17.677499999999998</v>
      </c>
      <c r="G541" s="8">
        <f>CHOOSE( CONTROL!$C$32, 16.5561, 16.5507) * CHOOSE( CONTROL!$C$15, $D$11, 100%, $F$11)</f>
        <v>16.556100000000001</v>
      </c>
      <c r="H541" s="4">
        <f>CHOOSE( CONTROL!$C$32, 17.5004, 17.495) * CHOOSE(CONTROL!$C$15, $D$11, 100%, $F$11)</f>
        <v>17.500399999999999</v>
      </c>
      <c r="I541" s="8">
        <f>CHOOSE( CONTROL!$C$32, 16.3812, 16.3758) * CHOOSE(CONTROL!$C$15, $D$11, 100%, $F$11)</f>
        <v>16.3812</v>
      </c>
      <c r="J541" s="4">
        <f>CHOOSE( CONTROL!$C$32, 16.259, 16.2536) * CHOOSE(CONTROL!$C$15, $D$11, 100%, $F$11)</f>
        <v>16.259</v>
      </c>
      <c r="K541" s="4"/>
      <c r="L541" s="9">
        <v>29.7257</v>
      </c>
      <c r="M541" s="9">
        <v>11.6745</v>
      </c>
      <c r="N541" s="9">
        <v>4.7850000000000001</v>
      </c>
      <c r="O541" s="9">
        <v>0.36199999999999999</v>
      </c>
      <c r="P541" s="9">
        <v>1.1791</v>
      </c>
      <c r="Q541" s="9">
        <v>19.053000000000001</v>
      </c>
      <c r="R541" s="9"/>
      <c r="S541" s="11"/>
    </row>
    <row r="542" spans="1:19" ht="15.75">
      <c r="A542" s="13">
        <v>58014</v>
      </c>
      <c r="B542" s="8">
        <f>17.7099 * CHOOSE(CONTROL!$C$15, $D$11, 100%, $F$11)</f>
        <v>17.709900000000001</v>
      </c>
      <c r="C542" s="8">
        <f>17.7153 * CHOOSE(CONTROL!$C$15, $D$11, 100%, $F$11)</f>
        <v>17.715299999999999</v>
      </c>
      <c r="D542" s="8">
        <f>17.7465 * CHOOSE( CONTROL!$C$15, $D$11, 100%, $F$11)</f>
        <v>17.746500000000001</v>
      </c>
      <c r="E542" s="12">
        <f>17.7356 * CHOOSE( CONTROL!$C$15, $D$11, 100%, $F$11)</f>
        <v>17.735600000000002</v>
      </c>
      <c r="F542" s="4">
        <f>18.424 * CHOOSE(CONTROL!$C$15, $D$11, 100%, $F$11)</f>
        <v>18.423999999999999</v>
      </c>
      <c r="G542" s="8">
        <f>17.2844 * CHOOSE( CONTROL!$C$15, $D$11, 100%, $F$11)</f>
        <v>17.284400000000002</v>
      </c>
      <c r="H542" s="4">
        <f>18.2295 * CHOOSE(CONTROL!$C$15, $D$11, 100%, $F$11)</f>
        <v>18.229500000000002</v>
      </c>
      <c r="I542" s="8">
        <f>17.0991 * CHOOSE(CONTROL!$C$15, $D$11, 100%, $F$11)</f>
        <v>17.0991</v>
      </c>
      <c r="J542" s="4">
        <f>16.9757 * CHOOSE(CONTROL!$C$15, $D$11, 100%, $F$11)</f>
        <v>16.9757</v>
      </c>
      <c r="K542" s="4"/>
      <c r="L542" s="9">
        <v>31.095300000000002</v>
      </c>
      <c r="M542" s="9">
        <v>12.063700000000001</v>
      </c>
      <c r="N542" s="9">
        <v>4.9444999999999997</v>
      </c>
      <c r="O542" s="9">
        <v>0.37409999999999999</v>
      </c>
      <c r="P542" s="9">
        <v>1.2183999999999999</v>
      </c>
      <c r="Q542" s="9">
        <v>19.688099999999999</v>
      </c>
      <c r="R542" s="9"/>
      <c r="S542" s="11"/>
    </row>
    <row r="543" spans="1:19" ht="15.75">
      <c r="A543" s="13">
        <v>58044</v>
      </c>
      <c r="B543" s="8">
        <f>19.0976 * CHOOSE(CONTROL!$C$15, $D$11, 100%, $F$11)</f>
        <v>19.0976</v>
      </c>
      <c r="C543" s="8">
        <f>19.1028 * CHOOSE(CONTROL!$C$15, $D$11, 100%, $F$11)</f>
        <v>19.102799999999998</v>
      </c>
      <c r="D543" s="8">
        <f>19.089 * CHOOSE( CONTROL!$C$15, $D$11, 100%, $F$11)</f>
        <v>19.088999999999999</v>
      </c>
      <c r="E543" s="12">
        <f>19.0935 * CHOOSE( CONTROL!$C$15, $D$11, 100%, $F$11)</f>
        <v>19.093499999999999</v>
      </c>
      <c r="F543" s="4">
        <f>19.7481 * CHOOSE(CONTROL!$C$15, $D$11, 100%, $F$11)</f>
        <v>19.748100000000001</v>
      </c>
      <c r="G543" s="8">
        <f>18.6478 * CHOOSE( CONTROL!$C$15, $D$11, 100%, $F$11)</f>
        <v>18.6478</v>
      </c>
      <c r="H543" s="4">
        <f>19.5228 * CHOOSE(CONTROL!$C$15, $D$11, 100%, $F$11)</f>
        <v>19.5228</v>
      </c>
      <c r="I543" s="8">
        <f>18.4761 * CHOOSE(CONTROL!$C$15, $D$11, 100%, $F$11)</f>
        <v>18.476099999999999</v>
      </c>
      <c r="J543" s="4">
        <f>18.3084 * CHOOSE(CONTROL!$C$15, $D$11, 100%, $F$11)</f>
        <v>18.308399999999999</v>
      </c>
      <c r="K543" s="4"/>
      <c r="L543" s="9">
        <v>28.360600000000002</v>
      </c>
      <c r="M543" s="9">
        <v>11.6745</v>
      </c>
      <c r="N543" s="9">
        <v>4.7850000000000001</v>
      </c>
      <c r="O543" s="9">
        <v>0.36199999999999999</v>
      </c>
      <c r="P543" s="9">
        <v>1.2509999999999999</v>
      </c>
      <c r="Q543" s="9">
        <v>19.053000000000001</v>
      </c>
      <c r="R543" s="9"/>
      <c r="S543" s="11"/>
    </row>
    <row r="544" spans="1:19" ht="15.75">
      <c r="A544" s="13">
        <v>58075</v>
      </c>
      <c r="B544" s="8">
        <f>19.0629 * CHOOSE(CONTROL!$C$15, $D$11, 100%, $F$11)</f>
        <v>19.062899999999999</v>
      </c>
      <c r="C544" s="8">
        <f>19.0681 * CHOOSE(CONTROL!$C$15, $D$11, 100%, $F$11)</f>
        <v>19.068100000000001</v>
      </c>
      <c r="D544" s="8">
        <f>19.0558 * CHOOSE( CONTROL!$C$15, $D$11, 100%, $F$11)</f>
        <v>19.055800000000001</v>
      </c>
      <c r="E544" s="12">
        <f>19.0597 * CHOOSE( CONTROL!$C$15, $D$11, 100%, $F$11)</f>
        <v>19.059699999999999</v>
      </c>
      <c r="F544" s="4">
        <f>19.7134 * CHOOSE(CONTROL!$C$15, $D$11, 100%, $F$11)</f>
        <v>19.7134</v>
      </c>
      <c r="G544" s="8">
        <f>18.615 * CHOOSE( CONTROL!$C$15, $D$11, 100%, $F$11)</f>
        <v>18.614999999999998</v>
      </c>
      <c r="H544" s="4">
        <f>19.4889 * CHOOSE(CONTROL!$C$15, $D$11, 100%, $F$11)</f>
        <v>19.488900000000001</v>
      </c>
      <c r="I544" s="8">
        <f>18.4476 * CHOOSE(CONTROL!$C$15, $D$11, 100%, $F$11)</f>
        <v>18.447600000000001</v>
      </c>
      <c r="J544" s="4">
        <f>18.2751 * CHOOSE(CONTROL!$C$15, $D$11, 100%, $F$11)</f>
        <v>18.275099999999998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58106</v>
      </c>
      <c r="B545" s="8">
        <f>19.7904 * CHOOSE(CONTROL!$C$15, $D$11, 100%, $F$11)</f>
        <v>19.790400000000002</v>
      </c>
      <c r="C545" s="8">
        <f>19.7956 * CHOOSE(CONTROL!$C$15, $D$11, 100%, $F$11)</f>
        <v>19.7956</v>
      </c>
      <c r="D545" s="8">
        <f>19.778 * CHOOSE( CONTROL!$C$15, $D$11, 100%, $F$11)</f>
        <v>19.777999999999999</v>
      </c>
      <c r="E545" s="12">
        <f>19.7839 * CHOOSE( CONTROL!$C$15, $D$11, 100%, $F$11)</f>
        <v>19.783899999999999</v>
      </c>
      <c r="F545" s="4">
        <f>20.4409 * CHOOSE(CONTROL!$C$15, $D$11, 100%, $F$11)</f>
        <v>20.440899999999999</v>
      </c>
      <c r="G545" s="8">
        <f>19.3155 * CHOOSE( CONTROL!$C$15, $D$11, 100%, $F$11)</f>
        <v>19.3155</v>
      </c>
      <c r="H545" s="4">
        <f>20.1994 * CHOOSE(CONTROL!$C$15, $D$11, 100%, $F$11)</f>
        <v>20.199400000000001</v>
      </c>
      <c r="I545" s="8">
        <f>19.1062 * CHOOSE(CONTROL!$C$15, $D$11, 100%, $F$11)</f>
        <v>19.106200000000001</v>
      </c>
      <c r="J545" s="4">
        <f>18.9736 * CHOOSE(CONTROL!$C$15, $D$11, 100%, $F$11)</f>
        <v>18.973600000000001</v>
      </c>
      <c r="K545" s="4"/>
      <c r="L545" s="9">
        <v>29.306000000000001</v>
      </c>
      <c r="M545" s="9">
        <v>12.063700000000001</v>
      </c>
      <c r="N545" s="9">
        <v>4.9444999999999997</v>
      </c>
      <c r="O545" s="9">
        <v>0.37409999999999999</v>
      </c>
      <c r="P545" s="9">
        <v>1.2927</v>
      </c>
      <c r="Q545" s="9">
        <v>19.688099999999999</v>
      </c>
      <c r="R545" s="9"/>
      <c r="S545" s="11"/>
    </row>
    <row r="546" spans="1:19" ht="15.75">
      <c r="A546" s="13">
        <v>58134</v>
      </c>
      <c r="B546" s="8">
        <f>18.5128 * CHOOSE(CONTROL!$C$15, $D$11, 100%, $F$11)</f>
        <v>18.512799999999999</v>
      </c>
      <c r="C546" s="8">
        <f>18.518 * CHOOSE(CONTROL!$C$15, $D$11, 100%, $F$11)</f>
        <v>18.518000000000001</v>
      </c>
      <c r="D546" s="8">
        <f>18.5004 * CHOOSE( CONTROL!$C$15, $D$11, 100%, $F$11)</f>
        <v>18.500399999999999</v>
      </c>
      <c r="E546" s="12">
        <f>18.5063 * CHOOSE( CONTROL!$C$15, $D$11, 100%, $F$11)</f>
        <v>18.5063</v>
      </c>
      <c r="F546" s="4">
        <f>19.1633 * CHOOSE(CONTROL!$C$15, $D$11, 100%, $F$11)</f>
        <v>19.1633</v>
      </c>
      <c r="G546" s="8">
        <f>18.0676 * CHOOSE( CONTROL!$C$15, $D$11, 100%, $F$11)</f>
        <v>18.067599999999999</v>
      </c>
      <c r="H546" s="4">
        <f>18.9516 * CHOOSE(CONTROL!$C$15, $D$11, 100%, $F$11)</f>
        <v>18.951599999999999</v>
      </c>
      <c r="I546" s="8">
        <f>17.8788 * CHOOSE(CONTROL!$C$15, $D$11, 100%, $F$11)</f>
        <v>17.878799999999998</v>
      </c>
      <c r="J546" s="4">
        <f>17.747 * CHOOSE(CONTROL!$C$15, $D$11, 100%, $F$11)</f>
        <v>17.747</v>
      </c>
      <c r="K546" s="4"/>
      <c r="L546" s="9">
        <v>26.469899999999999</v>
      </c>
      <c r="M546" s="9">
        <v>10.8962</v>
      </c>
      <c r="N546" s="9">
        <v>4.4660000000000002</v>
      </c>
      <c r="O546" s="9">
        <v>0.33789999999999998</v>
      </c>
      <c r="P546" s="9">
        <v>1.1676</v>
      </c>
      <c r="Q546" s="9">
        <v>17.782800000000002</v>
      </c>
      <c r="R546" s="9"/>
      <c r="S546" s="11"/>
    </row>
    <row r="547" spans="1:19" ht="15.75">
      <c r="A547" s="13">
        <v>58165</v>
      </c>
      <c r="B547" s="8">
        <f>18.1193 * CHOOSE(CONTROL!$C$15, $D$11, 100%, $F$11)</f>
        <v>18.119299999999999</v>
      </c>
      <c r="C547" s="8">
        <f>18.1245 * CHOOSE(CONTROL!$C$15, $D$11, 100%, $F$11)</f>
        <v>18.124500000000001</v>
      </c>
      <c r="D547" s="8">
        <f>18.1065 * CHOOSE( CONTROL!$C$15, $D$11, 100%, $F$11)</f>
        <v>18.1065</v>
      </c>
      <c r="E547" s="12">
        <f>18.1125 * CHOOSE( CONTROL!$C$15, $D$11, 100%, $F$11)</f>
        <v>18.112500000000001</v>
      </c>
      <c r="F547" s="4">
        <f>18.7698 * CHOOSE(CONTROL!$C$15, $D$11, 100%, $F$11)</f>
        <v>18.7698</v>
      </c>
      <c r="G547" s="8">
        <f>17.683 * CHOOSE( CONTROL!$C$15, $D$11, 100%, $F$11)</f>
        <v>17.683</v>
      </c>
      <c r="H547" s="4">
        <f>18.5673 * CHOOSE(CONTROL!$C$15, $D$11, 100%, $F$11)</f>
        <v>18.567299999999999</v>
      </c>
      <c r="I547" s="8">
        <f>17.4997 * CHOOSE(CONTROL!$C$15, $D$11, 100%, $F$11)</f>
        <v>17.499700000000001</v>
      </c>
      <c r="J547" s="4">
        <f>17.3692 * CHOOSE(CONTROL!$C$15, $D$11, 100%, $F$11)</f>
        <v>17.369199999999999</v>
      </c>
      <c r="K547" s="4"/>
      <c r="L547" s="9">
        <v>29.306000000000001</v>
      </c>
      <c r="M547" s="9">
        <v>12.063700000000001</v>
      </c>
      <c r="N547" s="9">
        <v>4.9444999999999997</v>
      </c>
      <c r="O547" s="9">
        <v>0.37409999999999999</v>
      </c>
      <c r="P547" s="9">
        <v>1.2927</v>
      </c>
      <c r="Q547" s="9">
        <v>19.688099999999999</v>
      </c>
      <c r="R547" s="9"/>
      <c r="S547" s="11"/>
    </row>
    <row r="548" spans="1:19" ht="15.75">
      <c r="A548" s="13">
        <v>58195</v>
      </c>
      <c r="B548" s="8">
        <f>18.395 * CHOOSE(CONTROL!$C$15, $D$11, 100%, $F$11)</f>
        <v>18.395</v>
      </c>
      <c r="C548" s="8">
        <f>18.3997 * CHOOSE(CONTROL!$C$15, $D$11, 100%, $F$11)</f>
        <v>18.399699999999999</v>
      </c>
      <c r="D548" s="8">
        <f>18.4308 * CHOOSE( CONTROL!$C$15, $D$11, 100%, $F$11)</f>
        <v>18.430800000000001</v>
      </c>
      <c r="E548" s="12">
        <f>18.42 * CHOOSE( CONTROL!$C$15, $D$11, 100%, $F$11)</f>
        <v>18.420000000000002</v>
      </c>
      <c r="F548" s="4">
        <f>19.1088 * CHOOSE(CONTROL!$C$15, $D$11, 100%, $F$11)</f>
        <v>19.108799999999999</v>
      </c>
      <c r="G548" s="8">
        <f>17.9524 * CHOOSE( CONTROL!$C$15, $D$11, 100%, $F$11)</f>
        <v>17.952400000000001</v>
      </c>
      <c r="H548" s="4">
        <f>18.8984 * CHOOSE(CONTROL!$C$15, $D$11, 100%, $F$11)</f>
        <v>18.898399999999999</v>
      </c>
      <c r="I548" s="8">
        <f>17.7543 * CHOOSE(CONTROL!$C$15, $D$11, 100%, $F$11)</f>
        <v>17.754300000000001</v>
      </c>
      <c r="J548" s="4">
        <f>17.6332 * CHOOSE(CONTROL!$C$15, $D$11, 100%, $F$11)</f>
        <v>17.633199999999999</v>
      </c>
      <c r="K548" s="4"/>
      <c r="L548" s="9">
        <v>30.092199999999998</v>
      </c>
      <c r="M548" s="9">
        <v>11.6745</v>
      </c>
      <c r="N548" s="9">
        <v>4.7850000000000001</v>
      </c>
      <c r="O548" s="9">
        <v>0.36199999999999999</v>
      </c>
      <c r="P548" s="9">
        <v>1.1791</v>
      </c>
      <c r="Q548" s="9">
        <v>19.053000000000001</v>
      </c>
      <c r="R548" s="9"/>
      <c r="S548" s="11"/>
    </row>
    <row r="549" spans="1:19" ht="15.75">
      <c r="A549" s="13">
        <v>58226</v>
      </c>
      <c r="B549" s="8">
        <f>CHOOSE( CONTROL!$C$32, 18.8913, 18.8858) * CHOOSE(CONTROL!$C$15, $D$11, 100%, $F$11)</f>
        <v>18.891300000000001</v>
      </c>
      <c r="C549" s="8">
        <f>CHOOSE( CONTROL!$C$32, 18.8994, 18.8939) * CHOOSE(CONTROL!$C$15, $D$11, 100%, $F$11)</f>
        <v>18.8994</v>
      </c>
      <c r="D549" s="8">
        <f>CHOOSE( CONTROL!$C$32, 18.9254, 18.9198) * CHOOSE( CONTROL!$C$15, $D$11, 100%, $F$11)</f>
        <v>18.9254</v>
      </c>
      <c r="E549" s="12">
        <f>CHOOSE( CONTROL!$C$32, 18.9147, 18.9092) * CHOOSE( CONTROL!$C$15, $D$11, 100%, $F$11)</f>
        <v>18.9147</v>
      </c>
      <c r="F549" s="4">
        <f>CHOOSE( CONTROL!$C$32, 19.6037, 19.5982) * CHOOSE(CONTROL!$C$15, $D$11, 100%, $F$11)</f>
        <v>19.6037</v>
      </c>
      <c r="G549" s="8">
        <f>CHOOSE( CONTROL!$C$32, 18.437, 18.4315) * CHOOSE( CONTROL!$C$15, $D$11, 100%, $F$11)</f>
        <v>18.437000000000001</v>
      </c>
      <c r="H549" s="4">
        <f>CHOOSE( CONTROL!$C$32, 19.3818, 19.3764) * CHOOSE(CONTROL!$C$15, $D$11, 100%, $F$11)</f>
        <v>19.381799999999998</v>
      </c>
      <c r="I549" s="8">
        <f>CHOOSE( CONTROL!$C$32, 18.2297, 18.2243) * CHOOSE(CONTROL!$C$15, $D$11, 100%, $F$11)</f>
        <v>18.229700000000001</v>
      </c>
      <c r="J549" s="4">
        <f>CHOOSE( CONTROL!$C$32, 18.1084, 18.103) * CHOOSE(CONTROL!$C$15, $D$11, 100%, $F$11)</f>
        <v>18.1084</v>
      </c>
      <c r="K549" s="4"/>
      <c r="L549" s="9">
        <v>30.7165</v>
      </c>
      <c r="M549" s="9">
        <v>12.063700000000001</v>
      </c>
      <c r="N549" s="9">
        <v>4.9444999999999997</v>
      </c>
      <c r="O549" s="9">
        <v>0.37409999999999999</v>
      </c>
      <c r="P549" s="9">
        <v>1.2183999999999999</v>
      </c>
      <c r="Q549" s="9">
        <v>19.688099999999999</v>
      </c>
      <c r="R549" s="9"/>
      <c r="S549" s="11"/>
    </row>
    <row r="550" spans="1:19" ht="15.75">
      <c r="A550" s="13">
        <v>58256</v>
      </c>
      <c r="B550" s="8">
        <f>CHOOSE( CONTROL!$C$32, 18.5882, 18.5826) * CHOOSE(CONTROL!$C$15, $D$11, 100%, $F$11)</f>
        <v>18.588200000000001</v>
      </c>
      <c r="C550" s="8">
        <f>CHOOSE( CONTROL!$C$32, 18.5963, 18.5907) * CHOOSE(CONTROL!$C$15, $D$11, 100%, $F$11)</f>
        <v>18.596299999999999</v>
      </c>
      <c r="D550" s="8">
        <f>CHOOSE( CONTROL!$C$32, 18.6224, 18.6169) * CHOOSE( CONTROL!$C$15, $D$11, 100%, $F$11)</f>
        <v>18.622399999999999</v>
      </c>
      <c r="E550" s="12">
        <f>CHOOSE( CONTROL!$C$32, 18.6117, 18.6062) * CHOOSE( CONTROL!$C$15, $D$11, 100%, $F$11)</f>
        <v>18.611699999999999</v>
      </c>
      <c r="F550" s="4">
        <f>CHOOSE( CONTROL!$C$32, 19.3006, 19.295) * CHOOSE(CONTROL!$C$15, $D$11, 100%, $F$11)</f>
        <v>19.300599999999999</v>
      </c>
      <c r="G550" s="8">
        <f>CHOOSE( CONTROL!$C$32, 18.1411, 18.1357) * CHOOSE( CONTROL!$C$15, $D$11, 100%, $F$11)</f>
        <v>18.141100000000002</v>
      </c>
      <c r="H550" s="4">
        <f>CHOOSE( CONTROL!$C$32, 19.0857, 19.0803) * CHOOSE(CONTROL!$C$15, $D$11, 100%, $F$11)</f>
        <v>19.085699999999999</v>
      </c>
      <c r="I550" s="8">
        <f>CHOOSE( CONTROL!$C$32, 17.9393, 17.9339) * CHOOSE(CONTROL!$C$15, $D$11, 100%, $F$11)</f>
        <v>17.939299999999999</v>
      </c>
      <c r="J550" s="4">
        <f>CHOOSE( CONTROL!$C$32, 17.8173, 17.812) * CHOOSE(CONTROL!$C$15, $D$11, 100%, $F$11)</f>
        <v>17.817299999999999</v>
      </c>
      <c r="K550" s="4"/>
      <c r="L550" s="9">
        <v>29.7257</v>
      </c>
      <c r="M550" s="9">
        <v>11.6745</v>
      </c>
      <c r="N550" s="9">
        <v>4.7850000000000001</v>
      </c>
      <c r="O550" s="9">
        <v>0.36199999999999999</v>
      </c>
      <c r="P550" s="9">
        <v>1.1791</v>
      </c>
      <c r="Q550" s="9">
        <v>19.053000000000001</v>
      </c>
      <c r="R550" s="9"/>
      <c r="S550" s="11"/>
    </row>
    <row r="551" spans="1:19" ht="15.75">
      <c r="A551" s="13">
        <v>58287</v>
      </c>
      <c r="B551" s="8">
        <f>CHOOSE( CONTROL!$C$32, 19.3865, 19.3809) * CHOOSE(CONTROL!$C$15, $D$11, 100%, $F$11)</f>
        <v>19.386500000000002</v>
      </c>
      <c r="C551" s="8">
        <f>CHOOSE( CONTROL!$C$32, 19.3946, 19.389) * CHOOSE(CONTROL!$C$15, $D$11, 100%, $F$11)</f>
        <v>19.394600000000001</v>
      </c>
      <c r="D551" s="8">
        <f>CHOOSE( CONTROL!$C$32, 19.4209, 19.4154) * CHOOSE( CONTROL!$C$15, $D$11, 100%, $F$11)</f>
        <v>19.4209</v>
      </c>
      <c r="E551" s="12">
        <f>CHOOSE( CONTROL!$C$32, 19.4101, 19.4046) * CHOOSE( CONTROL!$C$15, $D$11, 100%, $F$11)</f>
        <v>19.4101</v>
      </c>
      <c r="F551" s="4">
        <f>CHOOSE( CONTROL!$C$32, 20.0989, 20.0933) * CHOOSE(CONTROL!$C$15, $D$11, 100%, $F$11)</f>
        <v>20.0989</v>
      </c>
      <c r="G551" s="8">
        <f>CHOOSE( CONTROL!$C$32, 18.9211, 18.9157) * CHOOSE( CONTROL!$C$15, $D$11, 100%, $F$11)</f>
        <v>18.921099999999999</v>
      </c>
      <c r="H551" s="4">
        <f>CHOOSE( CONTROL!$C$32, 19.8654, 19.86) * CHOOSE(CONTROL!$C$15, $D$11, 100%, $F$11)</f>
        <v>19.865400000000001</v>
      </c>
      <c r="I551" s="8">
        <f>CHOOSE( CONTROL!$C$32, 18.7071, 18.7017) * CHOOSE(CONTROL!$C$15, $D$11, 100%, $F$11)</f>
        <v>18.707100000000001</v>
      </c>
      <c r="J551" s="4">
        <f>CHOOSE( CONTROL!$C$32, 18.5838, 18.5784) * CHOOSE(CONTROL!$C$15, $D$11, 100%, $F$11)</f>
        <v>18.5838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1.2183999999999999</v>
      </c>
      <c r="Q551" s="9">
        <v>19.688099999999999</v>
      </c>
      <c r="R551" s="9"/>
      <c r="S551" s="11"/>
    </row>
    <row r="552" spans="1:19" ht="15.75">
      <c r="A552" s="13">
        <v>58318</v>
      </c>
      <c r="B552" s="8">
        <f>CHOOSE( CONTROL!$C$32, 17.8928, 17.8872) * CHOOSE(CONTROL!$C$15, $D$11, 100%, $F$11)</f>
        <v>17.892800000000001</v>
      </c>
      <c r="C552" s="8">
        <f>CHOOSE( CONTROL!$C$32, 17.9009, 17.8953) * CHOOSE(CONTROL!$C$15, $D$11, 100%, $F$11)</f>
        <v>17.9009</v>
      </c>
      <c r="D552" s="8">
        <f>CHOOSE( CONTROL!$C$32, 17.9273, 17.9217) * CHOOSE( CONTROL!$C$15, $D$11, 100%, $F$11)</f>
        <v>17.927299999999999</v>
      </c>
      <c r="E552" s="12">
        <f>CHOOSE( CONTROL!$C$32, 17.9165, 17.9109) * CHOOSE( CONTROL!$C$15, $D$11, 100%, $F$11)</f>
        <v>17.916499999999999</v>
      </c>
      <c r="F552" s="4">
        <f>CHOOSE( CONTROL!$C$32, 18.6052, 18.5996) * CHOOSE(CONTROL!$C$15, $D$11, 100%, $F$11)</f>
        <v>18.6052</v>
      </c>
      <c r="G552" s="8">
        <f>CHOOSE( CONTROL!$C$32, 17.4623, 17.4569) * CHOOSE( CONTROL!$C$15, $D$11, 100%, $F$11)</f>
        <v>17.462299999999999</v>
      </c>
      <c r="H552" s="4">
        <f>CHOOSE( CONTROL!$C$32, 18.4065, 18.4011) * CHOOSE(CONTROL!$C$15, $D$11, 100%, $F$11)</f>
        <v>18.406500000000001</v>
      </c>
      <c r="I552" s="8">
        <f>CHOOSE( CONTROL!$C$32, 17.2725, 17.2672) * CHOOSE(CONTROL!$C$15, $D$11, 100%, $F$11)</f>
        <v>17.272500000000001</v>
      </c>
      <c r="J552" s="4">
        <f>CHOOSE( CONTROL!$C$32, 17.1496, 17.1443) * CHOOSE(CONTROL!$C$15, $D$11, 100%, $F$11)</f>
        <v>17.1496</v>
      </c>
      <c r="K552" s="4"/>
      <c r="L552" s="9">
        <v>30.7165</v>
      </c>
      <c r="M552" s="9">
        <v>12.063700000000001</v>
      </c>
      <c r="N552" s="9">
        <v>4.9444999999999997</v>
      </c>
      <c r="O552" s="9">
        <v>0.37409999999999999</v>
      </c>
      <c r="P552" s="9">
        <v>1.2183999999999999</v>
      </c>
      <c r="Q552" s="9">
        <v>19.688099999999999</v>
      </c>
      <c r="R552" s="9"/>
      <c r="S552" s="11"/>
    </row>
    <row r="553" spans="1:19" ht="15.75">
      <c r="A553" s="13">
        <v>58348</v>
      </c>
      <c r="B553" s="8">
        <f>CHOOSE( CONTROL!$C$32, 17.5187, 17.5132) * CHOOSE(CONTROL!$C$15, $D$11, 100%, $F$11)</f>
        <v>17.518699999999999</v>
      </c>
      <c r="C553" s="8">
        <f>CHOOSE( CONTROL!$C$32, 17.5268, 17.5213) * CHOOSE(CONTROL!$C$15, $D$11, 100%, $F$11)</f>
        <v>17.526800000000001</v>
      </c>
      <c r="D553" s="8">
        <f>CHOOSE( CONTROL!$C$32, 17.5532, 17.5476) * CHOOSE( CONTROL!$C$15, $D$11, 100%, $F$11)</f>
        <v>17.5532</v>
      </c>
      <c r="E553" s="12">
        <f>CHOOSE( CONTROL!$C$32, 17.5424, 17.5368) * CHOOSE( CONTROL!$C$15, $D$11, 100%, $F$11)</f>
        <v>17.542400000000001</v>
      </c>
      <c r="F553" s="4">
        <f>CHOOSE( CONTROL!$C$32, 18.2311, 18.2256) * CHOOSE(CONTROL!$C$15, $D$11, 100%, $F$11)</f>
        <v>18.231100000000001</v>
      </c>
      <c r="G553" s="8">
        <f>CHOOSE( CONTROL!$C$32, 17.0969, 17.0915) * CHOOSE( CONTROL!$C$15, $D$11, 100%, $F$11)</f>
        <v>17.096900000000002</v>
      </c>
      <c r="H553" s="4">
        <f>CHOOSE( CONTROL!$C$32, 18.0412, 18.0357) * CHOOSE(CONTROL!$C$15, $D$11, 100%, $F$11)</f>
        <v>18.0412</v>
      </c>
      <c r="I553" s="8">
        <f>CHOOSE( CONTROL!$C$32, 16.913, 16.9077) * CHOOSE(CONTROL!$C$15, $D$11, 100%, $F$11)</f>
        <v>16.913</v>
      </c>
      <c r="J553" s="4">
        <f>CHOOSE( CONTROL!$C$32, 16.7905, 16.7852) * CHOOSE(CONTROL!$C$15, $D$11, 100%, $F$11)</f>
        <v>16.790500000000002</v>
      </c>
      <c r="K553" s="4"/>
      <c r="L553" s="9">
        <v>29.7257</v>
      </c>
      <c r="M553" s="9">
        <v>11.6745</v>
      </c>
      <c r="N553" s="9">
        <v>4.7850000000000001</v>
      </c>
      <c r="O553" s="9">
        <v>0.36199999999999999</v>
      </c>
      <c r="P553" s="9">
        <v>1.1791</v>
      </c>
      <c r="Q553" s="9">
        <v>19.053000000000001</v>
      </c>
      <c r="R553" s="9"/>
      <c r="S553" s="11"/>
    </row>
    <row r="554" spans="1:19" ht="15.75">
      <c r="A554" s="13">
        <v>58379</v>
      </c>
      <c r="B554" s="8">
        <f>18.2881 * CHOOSE(CONTROL!$C$15, $D$11, 100%, $F$11)</f>
        <v>18.2881</v>
      </c>
      <c r="C554" s="8">
        <f>18.2935 * CHOOSE(CONTROL!$C$15, $D$11, 100%, $F$11)</f>
        <v>18.293500000000002</v>
      </c>
      <c r="D554" s="8">
        <f>18.3247 * CHOOSE( CONTROL!$C$15, $D$11, 100%, $F$11)</f>
        <v>18.3247</v>
      </c>
      <c r="E554" s="12">
        <f>18.3138 * CHOOSE( CONTROL!$C$15, $D$11, 100%, $F$11)</f>
        <v>18.313800000000001</v>
      </c>
      <c r="F554" s="4">
        <f>19.0022 * CHOOSE(CONTROL!$C$15, $D$11, 100%, $F$11)</f>
        <v>19.002199999999998</v>
      </c>
      <c r="G554" s="8">
        <f>17.8491 * CHOOSE( CONTROL!$C$15, $D$11, 100%, $F$11)</f>
        <v>17.8491</v>
      </c>
      <c r="H554" s="4">
        <f>18.7943 * CHOOSE(CONTROL!$C$15, $D$11, 100%, $F$11)</f>
        <v>18.7943</v>
      </c>
      <c r="I554" s="8">
        <f>17.6545 * CHOOSE(CONTROL!$C$15, $D$11, 100%, $F$11)</f>
        <v>17.654499999999999</v>
      </c>
      <c r="J554" s="4">
        <f>17.5308 * CHOOSE(CONTROL!$C$15, $D$11, 100%, $F$11)</f>
        <v>17.530799999999999</v>
      </c>
      <c r="K554" s="4"/>
      <c r="L554" s="9">
        <v>31.095300000000002</v>
      </c>
      <c r="M554" s="9">
        <v>12.063700000000001</v>
      </c>
      <c r="N554" s="9">
        <v>4.9444999999999997</v>
      </c>
      <c r="O554" s="9">
        <v>0.37409999999999999</v>
      </c>
      <c r="P554" s="9">
        <v>1.2183999999999999</v>
      </c>
      <c r="Q554" s="9">
        <v>19.688099999999999</v>
      </c>
      <c r="R554" s="9"/>
      <c r="S554" s="11"/>
    </row>
    <row r="555" spans="1:19" ht="15.75">
      <c r="A555" s="13">
        <v>58409</v>
      </c>
      <c r="B555" s="8">
        <f>19.7212 * CHOOSE(CONTROL!$C$15, $D$11, 100%, $F$11)</f>
        <v>19.7212</v>
      </c>
      <c r="C555" s="8">
        <f>19.7264 * CHOOSE(CONTROL!$C$15, $D$11, 100%, $F$11)</f>
        <v>19.726400000000002</v>
      </c>
      <c r="D555" s="8">
        <f>19.7126 * CHOOSE( CONTROL!$C$15, $D$11, 100%, $F$11)</f>
        <v>19.712599999999998</v>
      </c>
      <c r="E555" s="12">
        <f>19.7171 * CHOOSE( CONTROL!$C$15, $D$11, 100%, $F$11)</f>
        <v>19.717099999999999</v>
      </c>
      <c r="F555" s="4">
        <f>20.3717 * CHOOSE(CONTROL!$C$15, $D$11, 100%, $F$11)</f>
        <v>20.371700000000001</v>
      </c>
      <c r="G555" s="8">
        <f>19.2569 * CHOOSE( CONTROL!$C$15, $D$11, 100%, $F$11)</f>
        <v>19.256900000000002</v>
      </c>
      <c r="H555" s="4">
        <f>20.1319 * CHOOSE(CONTROL!$C$15, $D$11, 100%, $F$11)</f>
        <v>20.131900000000002</v>
      </c>
      <c r="I555" s="8">
        <f>19.0752 * CHOOSE(CONTROL!$C$15, $D$11, 100%, $F$11)</f>
        <v>19.075199999999999</v>
      </c>
      <c r="J555" s="4">
        <f>18.9072 * CHOOSE(CONTROL!$C$15, $D$11, 100%, $F$11)</f>
        <v>18.9072</v>
      </c>
      <c r="K555" s="4"/>
      <c r="L555" s="9">
        <v>28.360600000000002</v>
      </c>
      <c r="M555" s="9">
        <v>11.6745</v>
      </c>
      <c r="N555" s="9">
        <v>4.7850000000000001</v>
      </c>
      <c r="O555" s="9">
        <v>0.36199999999999999</v>
      </c>
      <c r="P555" s="9">
        <v>1.2509999999999999</v>
      </c>
      <c r="Q555" s="9">
        <v>19.053000000000001</v>
      </c>
      <c r="R555" s="9"/>
      <c r="S555" s="11"/>
    </row>
    <row r="556" spans="1:19" ht="15.75">
      <c r="A556" s="13">
        <v>58440</v>
      </c>
      <c r="B556" s="8">
        <f>19.6854 * CHOOSE(CONTROL!$C$15, $D$11, 100%, $F$11)</f>
        <v>19.685400000000001</v>
      </c>
      <c r="C556" s="8">
        <f>19.6906 * CHOOSE(CONTROL!$C$15, $D$11, 100%, $F$11)</f>
        <v>19.6906</v>
      </c>
      <c r="D556" s="8">
        <f>19.6783 * CHOOSE( CONTROL!$C$15, $D$11, 100%, $F$11)</f>
        <v>19.6783</v>
      </c>
      <c r="E556" s="12">
        <f>19.6822 * CHOOSE( CONTROL!$C$15, $D$11, 100%, $F$11)</f>
        <v>19.682200000000002</v>
      </c>
      <c r="F556" s="4">
        <f>20.3359 * CHOOSE(CONTROL!$C$15, $D$11, 100%, $F$11)</f>
        <v>20.335899999999999</v>
      </c>
      <c r="G556" s="8">
        <f>19.223 * CHOOSE( CONTROL!$C$15, $D$11, 100%, $F$11)</f>
        <v>19.222999999999999</v>
      </c>
      <c r="H556" s="4">
        <f>20.0969 * CHOOSE(CONTROL!$C$15, $D$11, 100%, $F$11)</f>
        <v>20.096900000000002</v>
      </c>
      <c r="I556" s="8">
        <f>19.0455 * CHOOSE(CONTROL!$C$15, $D$11, 100%, $F$11)</f>
        <v>19.045500000000001</v>
      </c>
      <c r="J556" s="4">
        <f>18.8728 * CHOOSE(CONTROL!$C$15, $D$11, 100%, $F$11)</f>
        <v>18.872800000000002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58471</v>
      </c>
      <c r="B557" s="8">
        <f>20.4367 * CHOOSE(CONTROL!$C$15, $D$11, 100%, $F$11)</f>
        <v>20.436699999999998</v>
      </c>
      <c r="C557" s="8">
        <f>20.4419 * CHOOSE(CONTROL!$C$15, $D$11, 100%, $F$11)</f>
        <v>20.4419</v>
      </c>
      <c r="D557" s="8">
        <f>20.4243 * CHOOSE( CONTROL!$C$15, $D$11, 100%, $F$11)</f>
        <v>20.424299999999999</v>
      </c>
      <c r="E557" s="12">
        <f>20.4302 * CHOOSE( CONTROL!$C$15, $D$11, 100%, $F$11)</f>
        <v>20.430199999999999</v>
      </c>
      <c r="F557" s="4">
        <f>21.0872 * CHOOSE(CONTROL!$C$15, $D$11, 100%, $F$11)</f>
        <v>21.087199999999999</v>
      </c>
      <c r="G557" s="8">
        <f>19.9467 * CHOOSE( CONTROL!$C$15, $D$11, 100%, $F$11)</f>
        <v>19.9467</v>
      </c>
      <c r="H557" s="4">
        <f>20.8307 * CHOOSE(CONTROL!$C$15, $D$11, 100%, $F$11)</f>
        <v>20.8307</v>
      </c>
      <c r="I557" s="8">
        <f>19.7271 * CHOOSE(CONTROL!$C$15, $D$11, 100%, $F$11)</f>
        <v>19.7271</v>
      </c>
      <c r="J557" s="4">
        <f>19.5941 * CHOOSE(CONTROL!$C$15, $D$11, 100%, $F$11)</f>
        <v>19.594100000000001</v>
      </c>
      <c r="K557" s="4"/>
      <c r="L557" s="9">
        <v>29.306000000000001</v>
      </c>
      <c r="M557" s="9">
        <v>12.063700000000001</v>
      </c>
      <c r="N557" s="9">
        <v>4.9444999999999997</v>
      </c>
      <c r="O557" s="9">
        <v>0.37409999999999999</v>
      </c>
      <c r="P557" s="9">
        <v>1.2927</v>
      </c>
      <c r="Q557" s="9">
        <v>19.688099999999999</v>
      </c>
      <c r="R557" s="9"/>
      <c r="S557" s="11"/>
    </row>
    <row r="558" spans="1:19" ht="15.75">
      <c r="A558" s="13">
        <v>58499</v>
      </c>
      <c r="B558" s="8">
        <f>19.1173 * CHOOSE(CONTROL!$C$15, $D$11, 100%, $F$11)</f>
        <v>19.1173</v>
      </c>
      <c r="C558" s="8">
        <f>19.1225 * CHOOSE(CONTROL!$C$15, $D$11, 100%, $F$11)</f>
        <v>19.122499999999999</v>
      </c>
      <c r="D558" s="8">
        <f>19.1049 * CHOOSE( CONTROL!$C$15, $D$11, 100%, $F$11)</f>
        <v>19.104900000000001</v>
      </c>
      <c r="E558" s="12">
        <f>19.1108 * CHOOSE( CONTROL!$C$15, $D$11, 100%, $F$11)</f>
        <v>19.110800000000001</v>
      </c>
      <c r="F558" s="4">
        <f>19.7678 * CHOOSE(CONTROL!$C$15, $D$11, 100%, $F$11)</f>
        <v>19.767800000000001</v>
      </c>
      <c r="G558" s="8">
        <f>18.658 * CHOOSE( CONTROL!$C$15, $D$11, 100%, $F$11)</f>
        <v>18.658000000000001</v>
      </c>
      <c r="H558" s="4">
        <f>19.542 * CHOOSE(CONTROL!$C$15, $D$11, 100%, $F$11)</f>
        <v>19.542000000000002</v>
      </c>
      <c r="I558" s="8">
        <f>18.4595 * CHOOSE(CONTROL!$C$15, $D$11, 100%, $F$11)</f>
        <v>18.459499999999998</v>
      </c>
      <c r="J558" s="4">
        <f>18.3274 * CHOOSE(CONTROL!$C$15, $D$11, 100%, $F$11)</f>
        <v>18.327400000000001</v>
      </c>
      <c r="K558" s="4"/>
      <c r="L558" s="9">
        <v>27.415299999999998</v>
      </c>
      <c r="M558" s="9">
        <v>11.285299999999999</v>
      </c>
      <c r="N558" s="9">
        <v>4.6254999999999997</v>
      </c>
      <c r="O558" s="9">
        <v>0.34989999999999999</v>
      </c>
      <c r="P558" s="9">
        <v>1.2093</v>
      </c>
      <c r="Q558" s="9">
        <v>18.417899999999999</v>
      </c>
      <c r="R558" s="9"/>
      <c r="S558" s="11"/>
    </row>
    <row r="559" spans="1:19" ht="15.75">
      <c r="A559" s="13">
        <v>58531</v>
      </c>
      <c r="B559" s="8">
        <f>18.711 * CHOOSE(CONTROL!$C$15, $D$11, 100%, $F$11)</f>
        <v>18.710999999999999</v>
      </c>
      <c r="C559" s="8">
        <f>18.7161 * CHOOSE(CONTROL!$C$15, $D$11, 100%, $F$11)</f>
        <v>18.716100000000001</v>
      </c>
      <c r="D559" s="8">
        <f>18.6982 * CHOOSE( CONTROL!$C$15, $D$11, 100%, $F$11)</f>
        <v>18.6982</v>
      </c>
      <c r="E559" s="12">
        <f>18.7042 * CHOOSE( CONTROL!$C$15, $D$11, 100%, $F$11)</f>
        <v>18.7042</v>
      </c>
      <c r="F559" s="4">
        <f>19.3614 * CHOOSE(CONTROL!$C$15, $D$11, 100%, $F$11)</f>
        <v>19.3614</v>
      </c>
      <c r="G559" s="8">
        <f>18.2609 * CHOOSE( CONTROL!$C$15, $D$11, 100%, $F$11)</f>
        <v>18.260899999999999</v>
      </c>
      <c r="H559" s="4">
        <f>19.1451 * CHOOSE(CONTROL!$C$15, $D$11, 100%, $F$11)</f>
        <v>19.145099999999999</v>
      </c>
      <c r="I559" s="8">
        <f>18.068 * CHOOSE(CONTROL!$C$15, $D$11, 100%, $F$11)</f>
        <v>18.068000000000001</v>
      </c>
      <c r="J559" s="4">
        <f>17.9372 * CHOOSE(CONTROL!$C$15, $D$11, 100%, $F$11)</f>
        <v>17.937200000000001</v>
      </c>
      <c r="K559" s="4"/>
      <c r="L559" s="9">
        <v>29.306000000000001</v>
      </c>
      <c r="M559" s="9">
        <v>12.063700000000001</v>
      </c>
      <c r="N559" s="9">
        <v>4.9444999999999997</v>
      </c>
      <c r="O559" s="9">
        <v>0.37409999999999999</v>
      </c>
      <c r="P559" s="9">
        <v>1.2927</v>
      </c>
      <c r="Q559" s="9">
        <v>19.688099999999999</v>
      </c>
      <c r="R559" s="9"/>
      <c r="S559" s="11"/>
    </row>
    <row r="560" spans="1:19" ht="15.75">
      <c r="A560" s="13">
        <v>58561</v>
      </c>
      <c r="B560" s="8">
        <f>18.9957 * CHOOSE(CONTROL!$C$15, $D$11, 100%, $F$11)</f>
        <v>18.995699999999999</v>
      </c>
      <c r="C560" s="8">
        <f>19.0003 * CHOOSE(CONTROL!$C$15, $D$11, 100%, $F$11)</f>
        <v>19.000299999999999</v>
      </c>
      <c r="D560" s="8">
        <f>19.0314 * CHOOSE( CONTROL!$C$15, $D$11, 100%, $F$11)</f>
        <v>19.031400000000001</v>
      </c>
      <c r="E560" s="12">
        <f>19.0206 * CHOOSE( CONTROL!$C$15, $D$11, 100%, $F$11)</f>
        <v>19.020600000000002</v>
      </c>
      <c r="F560" s="4">
        <f>19.7094 * CHOOSE(CONTROL!$C$15, $D$11, 100%, $F$11)</f>
        <v>19.709399999999999</v>
      </c>
      <c r="G560" s="8">
        <f>18.5391 * CHOOSE( CONTROL!$C$15, $D$11, 100%, $F$11)</f>
        <v>18.539100000000001</v>
      </c>
      <c r="H560" s="4">
        <f>19.485 * CHOOSE(CONTROL!$C$15, $D$11, 100%, $F$11)</f>
        <v>19.484999999999999</v>
      </c>
      <c r="I560" s="8">
        <f>18.3313 * CHOOSE(CONTROL!$C$15, $D$11, 100%, $F$11)</f>
        <v>18.331299999999999</v>
      </c>
      <c r="J560" s="4">
        <f>18.2098 * CHOOSE(CONTROL!$C$15, $D$11, 100%, $F$11)</f>
        <v>18.209800000000001</v>
      </c>
      <c r="K560" s="4"/>
      <c r="L560" s="9">
        <v>30.092199999999998</v>
      </c>
      <c r="M560" s="9">
        <v>11.6745</v>
      </c>
      <c r="N560" s="9">
        <v>4.7850000000000001</v>
      </c>
      <c r="O560" s="9">
        <v>0.36199999999999999</v>
      </c>
      <c r="P560" s="9">
        <v>1.1791</v>
      </c>
      <c r="Q560" s="9">
        <v>19.053000000000001</v>
      </c>
      <c r="R560" s="9"/>
      <c r="S560" s="11"/>
    </row>
    <row r="561" spans="1:19" ht="15.75">
      <c r="A561" s="13">
        <v>58592</v>
      </c>
      <c r="B561" s="8">
        <f>CHOOSE( CONTROL!$C$32, 19.508, 19.5024) * CHOOSE(CONTROL!$C$15, $D$11, 100%, $F$11)</f>
        <v>19.507999999999999</v>
      </c>
      <c r="C561" s="8">
        <f>CHOOSE( CONTROL!$C$32, 19.5161, 19.5105) * CHOOSE(CONTROL!$C$15, $D$11, 100%, $F$11)</f>
        <v>19.516100000000002</v>
      </c>
      <c r="D561" s="8">
        <f>CHOOSE( CONTROL!$C$32, 19.542, 19.5365) * CHOOSE( CONTROL!$C$15, $D$11, 100%, $F$11)</f>
        <v>19.542000000000002</v>
      </c>
      <c r="E561" s="12">
        <f>CHOOSE( CONTROL!$C$32, 19.5314, 19.5258) * CHOOSE( CONTROL!$C$15, $D$11, 100%, $F$11)</f>
        <v>19.531400000000001</v>
      </c>
      <c r="F561" s="4">
        <f>CHOOSE( CONTROL!$C$32, 20.2204, 20.2148) * CHOOSE(CONTROL!$C$15, $D$11, 100%, $F$11)</f>
        <v>20.220400000000001</v>
      </c>
      <c r="G561" s="8">
        <f>CHOOSE( CONTROL!$C$32, 19.0392, 19.0338) * CHOOSE( CONTROL!$C$15, $D$11, 100%, $F$11)</f>
        <v>19.039200000000001</v>
      </c>
      <c r="H561" s="4">
        <f>CHOOSE( CONTROL!$C$32, 19.9841, 19.9786) * CHOOSE(CONTROL!$C$15, $D$11, 100%, $F$11)</f>
        <v>19.984100000000002</v>
      </c>
      <c r="I561" s="8">
        <f>CHOOSE( CONTROL!$C$32, 18.822, 18.8167) * CHOOSE(CONTROL!$C$15, $D$11, 100%, $F$11)</f>
        <v>18.821999999999999</v>
      </c>
      <c r="J561" s="4">
        <f>CHOOSE( CONTROL!$C$32, 18.7004, 18.6951) * CHOOSE(CONTROL!$C$15, $D$11, 100%, $F$11)</f>
        <v>18.700399999999998</v>
      </c>
      <c r="K561" s="4"/>
      <c r="L561" s="9">
        <v>30.7165</v>
      </c>
      <c r="M561" s="9">
        <v>12.063700000000001</v>
      </c>
      <c r="N561" s="9">
        <v>4.9444999999999997</v>
      </c>
      <c r="O561" s="9">
        <v>0.37409999999999999</v>
      </c>
      <c r="P561" s="9">
        <v>1.2183999999999999</v>
      </c>
      <c r="Q561" s="9">
        <v>19.688099999999999</v>
      </c>
      <c r="R561" s="9"/>
      <c r="S561" s="11"/>
    </row>
    <row r="562" spans="1:19" ht="15.75">
      <c r="A562" s="13">
        <v>58622</v>
      </c>
      <c r="B562" s="8">
        <f>CHOOSE( CONTROL!$C$32, 19.1949, 19.1894) * CHOOSE(CONTROL!$C$15, $D$11, 100%, $F$11)</f>
        <v>19.194900000000001</v>
      </c>
      <c r="C562" s="8">
        <f>CHOOSE( CONTROL!$C$32, 19.203, 19.1974) * CHOOSE(CONTROL!$C$15, $D$11, 100%, $F$11)</f>
        <v>19.202999999999999</v>
      </c>
      <c r="D562" s="8">
        <f>CHOOSE( CONTROL!$C$32, 19.2292, 19.2236) * CHOOSE( CONTROL!$C$15, $D$11, 100%, $F$11)</f>
        <v>19.229199999999999</v>
      </c>
      <c r="E562" s="12">
        <f>CHOOSE( CONTROL!$C$32, 19.2185, 19.2129) * CHOOSE( CONTROL!$C$15, $D$11, 100%, $F$11)</f>
        <v>19.218499999999999</v>
      </c>
      <c r="F562" s="4">
        <f>CHOOSE( CONTROL!$C$32, 19.9073, 19.9017) * CHOOSE(CONTROL!$C$15, $D$11, 100%, $F$11)</f>
        <v>19.907299999999999</v>
      </c>
      <c r="G562" s="8">
        <f>CHOOSE( CONTROL!$C$32, 18.7337, 18.7283) * CHOOSE( CONTROL!$C$15, $D$11, 100%, $F$11)</f>
        <v>18.733699999999999</v>
      </c>
      <c r="H562" s="4">
        <f>CHOOSE( CONTROL!$C$32, 19.6783, 19.6729) * CHOOSE(CONTROL!$C$15, $D$11, 100%, $F$11)</f>
        <v>19.6783</v>
      </c>
      <c r="I562" s="8">
        <f>CHOOSE( CONTROL!$C$32, 18.5221, 18.5168) * CHOOSE(CONTROL!$C$15, $D$11, 100%, $F$11)</f>
        <v>18.522099999999998</v>
      </c>
      <c r="J562" s="4">
        <f>CHOOSE( CONTROL!$C$32, 18.3998, 18.3945) * CHOOSE(CONTROL!$C$15, $D$11, 100%, $F$11)</f>
        <v>18.399799999999999</v>
      </c>
      <c r="K562" s="4"/>
      <c r="L562" s="9">
        <v>29.7257</v>
      </c>
      <c r="M562" s="9">
        <v>11.6745</v>
      </c>
      <c r="N562" s="9">
        <v>4.7850000000000001</v>
      </c>
      <c r="O562" s="9">
        <v>0.36199999999999999</v>
      </c>
      <c r="P562" s="9">
        <v>1.1791</v>
      </c>
      <c r="Q562" s="9">
        <v>19.053000000000001</v>
      </c>
      <c r="R562" s="9"/>
      <c r="S562" s="11"/>
    </row>
    <row r="563" spans="1:19" ht="15.75">
      <c r="A563" s="13">
        <v>58653</v>
      </c>
      <c r="B563" s="8">
        <f>CHOOSE( CONTROL!$C$32, 20.0193, 20.0138) * CHOOSE(CONTROL!$C$15, $D$11, 100%, $F$11)</f>
        <v>20.019300000000001</v>
      </c>
      <c r="C563" s="8">
        <f>CHOOSE( CONTROL!$C$32, 20.0274, 20.0219) * CHOOSE(CONTROL!$C$15, $D$11, 100%, $F$11)</f>
        <v>20.0274</v>
      </c>
      <c r="D563" s="8">
        <f>CHOOSE( CONTROL!$C$32, 20.0538, 20.0482) * CHOOSE( CONTROL!$C$15, $D$11, 100%, $F$11)</f>
        <v>20.053799999999999</v>
      </c>
      <c r="E563" s="12">
        <f>CHOOSE( CONTROL!$C$32, 20.043, 20.0374) * CHOOSE( CONTROL!$C$15, $D$11, 100%, $F$11)</f>
        <v>20.042999999999999</v>
      </c>
      <c r="F563" s="4">
        <f>CHOOSE( CONTROL!$C$32, 20.7317, 20.7262) * CHOOSE(CONTROL!$C$15, $D$11, 100%, $F$11)</f>
        <v>20.7317</v>
      </c>
      <c r="G563" s="8">
        <f>CHOOSE( CONTROL!$C$32, 19.5392, 19.5338) * CHOOSE( CONTROL!$C$15, $D$11, 100%, $F$11)</f>
        <v>19.539200000000001</v>
      </c>
      <c r="H563" s="4">
        <f>CHOOSE( CONTROL!$C$32, 20.4835, 20.4781) * CHOOSE(CONTROL!$C$15, $D$11, 100%, $F$11)</f>
        <v>20.483499999999999</v>
      </c>
      <c r="I563" s="8">
        <f>CHOOSE( CONTROL!$C$32, 19.315, 19.3096) * CHOOSE(CONTROL!$C$15, $D$11, 100%, $F$11)</f>
        <v>19.315000000000001</v>
      </c>
      <c r="J563" s="4">
        <f>CHOOSE( CONTROL!$C$32, 19.1913, 19.186) * CHOOSE(CONTROL!$C$15, $D$11, 100%, $F$11)</f>
        <v>19.191299999999998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1.2183999999999999</v>
      </c>
      <c r="Q563" s="9">
        <v>19.688099999999999</v>
      </c>
      <c r="R563" s="9"/>
      <c r="S563" s="11"/>
    </row>
    <row r="564" spans="1:19" ht="15.75">
      <c r="A564" s="13">
        <v>58684</v>
      </c>
      <c r="B564" s="8">
        <f>CHOOSE( CONTROL!$C$32, 18.4768, 18.4712) * CHOOSE(CONTROL!$C$15, $D$11, 100%, $F$11)</f>
        <v>18.476800000000001</v>
      </c>
      <c r="C564" s="8">
        <f>CHOOSE( CONTROL!$C$32, 18.4849, 18.4793) * CHOOSE(CONTROL!$C$15, $D$11, 100%, $F$11)</f>
        <v>18.4849</v>
      </c>
      <c r="D564" s="8">
        <f>CHOOSE( CONTROL!$C$32, 18.5113, 18.5057) * CHOOSE( CONTROL!$C$15, $D$11, 100%, $F$11)</f>
        <v>18.511299999999999</v>
      </c>
      <c r="E564" s="12">
        <f>CHOOSE( CONTROL!$C$32, 18.5005, 18.4949) * CHOOSE( CONTROL!$C$15, $D$11, 100%, $F$11)</f>
        <v>18.500499999999999</v>
      </c>
      <c r="F564" s="4">
        <f>CHOOSE( CONTROL!$C$32, 19.1892, 19.1836) * CHOOSE(CONTROL!$C$15, $D$11, 100%, $F$11)</f>
        <v>19.1892</v>
      </c>
      <c r="G564" s="8">
        <f>CHOOSE( CONTROL!$C$32, 18.0327, 18.0272) * CHOOSE( CONTROL!$C$15, $D$11, 100%, $F$11)</f>
        <v>18.032699999999998</v>
      </c>
      <c r="H564" s="4">
        <f>CHOOSE( CONTROL!$C$32, 18.9769, 18.9715) * CHOOSE(CONTROL!$C$15, $D$11, 100%, $F$11)</f>
        <v>18.976900000000001</v>
      </c>
      <c r="I564" s="8">
        <f>CHOOSE( CONTROL!$C$32, 17.8335, 17.8281) * CHOOSE(CONTROL!$C$15, $D$11, 100%, $F$11)</f>
        <v>17.833500000000001</v>
      </c>
      <c r="J564" s="4">
        <f>CHOOSE( CONTROL!$C$32, 17.7103, 17.705) * CHOOSE(CONTROL!$C$15, $D$11, 100%, $F$11)</f>
        <v>17.7103</v>
      </c>
      <c r="K564" s="4"/>
      <c r="L564" s="9">
        <v>30.7165</v>
      </c>
      <c r="M564" s="9">
        <v>12.063700000000001</v>
      </c>
      <c r="N564" s="9">
        <v>4.9444999999999997</v>
      </c>
      <c r="O564" s="9">
        <v>0.37409999999999999</v>
      </c>
      <c r="P564" s="9">
        <v>1.2183999999999999</v>
      </c>
      <c r="Q564" s="9">
        <v>19.688099999999999</v>
      </c>
      <c r="R564" s="9"/>
      <c r="S564" s="11"/>
    </row>
    <row r="565" spans="1:19" ht="15.75">
      <c r="A565" s="13">
        <v>58714</v>
      </c>
      <c r="B565" s="8">
        <f>CHOOSE( CONTROL!$C$32, 18.0905, 18.0849) * CHOOSE(CONTROL!$C$15, $D$11, 100%, $F$11)</f>
        <v>18.090499999999999</v>
      </c>
      <c r="C565" s="8">
        <f>CHOOSE( CONTROL!$C$32, 18.0986, 18.093) * CHOOSE(CONTROL!$C$15, $D$11, 100%, $F$11)</f>
        <v>18.098600000000001</v>
      </c>
      <c r="D565" s="8">
        <f>CHOOSE( CONTROL!$C$32, 18.1249, 18.1194) * CHOOSE( CONTROL!$C$15, $D$11, 100%, $F$11)</f>
        <v>18.1249</v>
      </c>
      <c r="E565" s="12">
        <f>CHOOSE( CONTROL!$C$32, 18.1141, 18.1086) * CHOOSE( CONTROL!$C$15, $D$11, 100%, $F$11)</f>
        <v>18.114100000000001</v>
      </c>
      <c r="F565" s="4">
        <f>CHOOSE( CONTROL!$C$32, 18.8029, 18.7973) * CHOOSE(CONTROL!$C$15, $D$11, 100%, $F$11)</f>
        <v>18.802900000000001</v>
      </c>
      <c r="G565" s="8">
        <f>CHOOSE( CONTROL!$C$32, 17.6553, 17.6499) * CHOOSE( CONTROL!$C$15, $D$11, 100%, $F$11)</f>
        <v>17.6553</v>
      </c>
      <c r="H565" s="4">
        <f>CHOOSE( CONTROL!$C$32, 18.5996, 18.5942) * CHOOSE(CONTROL!$C$15, $D$11, 100%, $F$11)</f>
        <v>18.599599999999999</v>
      </c>
      <c r="I565" s="8">
        <f>CHOOSE( CONTROL!$C$32, 17.4622, 17.4569) * CHOOSE(CONTROL!$C$15, $D$11, 100%, $F$11)</f>
        <v>17.462199999999999</v>
      </c>
      <c r="J565" s="4">
        <f>CHOOSE( CONTROL!$C$32, 17.3395, 17.3341) * CHOOSE(CONTROL!$C$15, $D$11, 100%, $F$11)</f>
        <v>17.339500000000001</v>
      </c>
      <c r="K565" s="4"/>
      <c r="L565" s="9">
        <v>29.7257</v>
      </c>
      <c r="M565" s="9">
        <v>11.6745</v>
      </c>
      <c r="N565" s="9">
        <v>4.7850000000000001</v>
      </c>
      <c r="O565" s="9">
        <v>0.36199999999999999</v>
      </c>
      <c r="P565" s="9">
        <v>1.1791</v>
      </c>
      <c r="Q565" s="9">
        <v>19.053000000000001</v>
      </c>
      <c r="R565" s="9"/>
      <c r="S565" s="11"/>
    </row>
    <row r="566" spans="1:19" ht="15.75">
      <c r="A566" s="13">
        <v>58745</v>
      </c>
      <c r="B566" s="8">
        <f>18.8852 * CHOOSE(CONTROL!$C$15, $D$11, 100%, $F$11)</f>
        <v>18.885200000000001</v>
      </c>
      <c r="C566" s="8">
        <f>18.8907 * CHOOSE(CONTROL!$C$15, $D$11, 100%, $F$11)</f>
        <v>18.890699999999999</v>
      </c>
      <c r="D566" s="8">
        <f>18.9219 * CHOOSE( CONTROL!$C$15, $D$11, 100%, $F$11)</f>
        <v>18.921900000000001</v>
      </c>
      <c r="E566" s="12">
        <f>18.911 * CHOOSE( CONTROL!$C$15, $D$11, 100%, $F$11)</f>
        <v>18.911000000000001</v>
      </c>
      <c r="F566" s="4">
        <f>19.5994 * CHOOSE(CONTROL!$C$15, $D$11, 100%, $F$11)</f>
        <v>19.599399999999999</v>
      </c>
      <c r="G566" s="8">
        <f>18.4324 * CHOOSE( CONTROL!$C$15, $D$11, 100%, $F$11)</f>
        <v>18.432400000000001</v>
      </c>
      <c r="H566" s="4">
        <f>19.3775 * CHOOSE(CONTROL!$C$15, $D$11, 100%, $F$11)</f>
        <v>19.377500000000001</v>
      </c>
      <c r="I566" s="8">
        <f>18.2282 * CHOOSE(CONTROL!$C$15, $D$11, 100%, $F$11)</f>
        <v>18.228200000000001</v>
      </c>
      <c r="J566" s="4">
        <f>18.1042 * CHOOSE(CONTROL!$C$15, $D$11, 100%, $F$11)</f>
        <v>18.104199999999999</v>
      </c>
      <c r="K566" s="4"/>
      <c r="L566" s="9">
        <v>31.095300000000002</v>
      </c>
      <c r="M566" s="9">
        <v>12.063700000000001</v>
      </c>
      <c r="N566" s="9">
        <v>4.9444999999999997</v>
      </c>
      <c r="O566" s="9">
        <v>0.37409999999999999</v>
      </c>
      <c r="P566" s="9">
        <v>1.2183999999999999</v>
      </c>
      <c r="Q566" s="9">
        <v>19.688099999999999</v>
      </c>
      <c r="R566" s="9"/>
      <c r="S566" s="11"/>
    </row>
    <row r="567" spans="1:19" ht="15.75">
      <c r="A567" s="13">
        <v>58775</v>
      </c>
      <c r="B567" s="8">
        <f>20.3653 * CHOOSE(CONTROL!$C$15, $D$11, 100%, $F$11)</f>
        <v>20.365300000000001</v>
      </c>
      <c r="C567" s="8">
        <f>20.3704 * CHOOSE(CONTROL!$C$15, $D$11, 100%, $F$11)</f>
        <v>20.3704</v>
      </c>
      <c r="D567" s="8">
        <f>20.3567 * CHOOSE( CONTROL!$C$15, $D$11, 100%, $F$11)</f>
        <v>20.3567</v>
      </c>
      <c r="E567" s="12">
        <f>20.3612 * CHOOSE( CONTROL!$C$15, $D$11, 100%, $F$11)</f>
        <v>20.3612</v>
      </c>
      <c r="F567" s="4">
        <f>21.0157 * CHOOSE(CONTROL!$C$15, $D$11, 100%, $F$11)</f>
        <v>21.015699999999999</v>
      </c>
      <c r="G567" s="8">
        <f>19.8859 * CHOOSE( CONTROL!$C$15, $D$11, 100%, $F$11)</f>
        <v>19.885899999999999</v>
      </c>
      <c r="H567" s="4">
        <f>20.7609 * CHOOSE(CONTROL!$C$15, $D$11, 100%, $F$11)</f>
        <v>20.760899999999999</v>
      </c>
      <c r="I567" s="8">
        <f>19.6938 * CHOOSE(CONTROL!$C$15, $D$11, 100%, $F$11)</f>
        <v>19.6938</v>
      </c>
      <c r="J567" s="4">
        <f>19.5255 * CHOOSE(CONTROL!$C$15, $D$11, 100%, $F$11)</f>
        <v>19.525500000000001</v>
      </c>
      <c r="K567" s="4"/>
      <c r="L567" s="9">
        <v>28.360600000000002</v>
      </c>
      <c r="M567" s="9">
        <v>11.6745</v>
      </c>
      <c r="N567" s="9">
        <v>4.7850000000000001</v>
      </c>
      <c r="O567" s="9">
        <v>0.36199999999999999</v>
      </c>
      <c r="P567" s="9">
        <v>1.2509999999999999</v>
      </c>
      <c r="Q567" s="9">
        <v>19.053000000000001</v>
      </c>
      <c r="R567" s="9"/>
      <c r="S567" s="11"/>
    </row>
    <row r="568" spans="1:19" ht="15.75">
      <c r="A568" s="13">
        <v>58806</v>
      </c>
      <c r="B568" s="8">
        <f>20.3283 * CHOOSE(CONTROL!$C$15, $D$11, 100%, $F$11)</f>
        <v>20.328299999999999</v>
      </c>
      <c r="C568" s="8">
        <f>20.3335 * CHOOSE(CONTROL!$C$15, $D$11, 100%, $F$11)</f>
        <v>20.333500000000001</v>
      </c>
      <c r="D568" s="8">
        <f>20.3212 * CHOOSE( CONTROL!$C$15, $D$11, 100%, $F$11)</f>
        <v>20.321200000000001</v>
      </c>
      <c r="E568" s="12">
        <f>20.3251 * CHOOSE( CONTROL!$C$15, $D$11, 100%, $F$11)</f>
        <v>20.325099999999999</v>
      </c>
      <c r="F568" s="4">
        <f>20.9787 * CHOOSE(CONTROL!$C$15, $D$11, 100%, $F$11)</f>
        <v>20.9787</v>
      </c>
      <c r="G568" s="8">
        <f>19.8509 * CHOOSE( CONTROL!$C$15, $D$11, 100%, $F$11)</f>
        <v>19.850899999999999</v>
      </c>
      <c r="H568" s="4">
        <f>20.7248 * CHOOSE(CONTROL!$C$15, $D$11, 100%, $F$11)</f>
        <v>20.724799999999998</v>
      </c>
      <c r="I568" s="8">
        <f>19.6631 * CHOOSE(CONTROL!$C$15, $D$11, 100%, $F$11)</f>
        <v>19.6631</v>
      </c>
      <c r="J568" s="4">
        <f>19.49 * CHOOSE(CONTROL!$C$15, $D$11, 100%, $F$11)</f>
        <v>19.489999999999998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58837</v>
      </c>
      <c r="B569" s="8">
        <f>21.1041 * CHOOSE(CONTROL!$C$15, $D$11, 100%, $F$11)</f>
        <v>21.104099999999999</v>
      </c>
      <c r="C569" s="8">
        <f>21.1093 * CHOOSE(CONTROL!$C$15, $D$11, 100%, $F$11)</f>
        <v>21.109300000000001</v>
      </c>
      <c r="D569" s="8">
        <f>21.0917 * CHOOSE( CONTROL!$C$15, $D$11, 100%, $F$11)</f>
        <v>21.091699999999999</v>
      </c>
      <c r="E569" s="12">
        <f>21.0976 * CHOOSE( CONTROL!$C$15, $D$11, 100%, $F$11)</f>
        <v>21.0976</v>
      </c>
      <c r="F569" s="4">
        <f>21.7546 * CHOOSE(CONTROL!$C$15, $D$11, 100%, $F$11)</f>
        <v>21.7546</v>
      </c>
      <c r="G569" s="8">
        <f>20.5986 * CHOOSE( CONTROL!$C$15, $D$11, 100%, $F$11)</f>
        <v>20.598600000000001</v>
      </c>
      <c r="H569" s="4">
        <f>21.4825 * CHOOSE(CONTROL!$C$15, $D$11, 100%, $F$11)</f>
        <v>21.482500000000002</v>
      </c>
      <c r="I569" s="8">
        <f>20.3682 * CHOOSE(CONTROL!$C$15, $D$11, 100%, $F$11)</f>
        <v>20.368200000000002</v>
      </c>
      <c r="J569" s="4">
        <f>20.2349 * CHOOSE(CONTROL!$C$15, $D$11, 100%, $F$11)</f>
        <v>20.2349</v>
      </c>
      <c r="K569" s="4"/>
      <c r="L569" s="9">
        <v>29.306000000000001</v>
      </c>
      <c r="M569" s="9">
        <v>12.063700000000001</v>
      </c>
      <c r="N569" s="9">
        <v>4.9444999999999997</v>
      </c>
      <c r="O569" s="9">
        <v>0.37409999999999999</v>
      </c>
      <c r="P569" s="9">
        <v>1.2927</v>
      </c>
      <c r="Q569" s="9">
        <v>19.688099999999999</v>
      </c>
      <c r="R569" s="9"/>
      <c r="S569" s="11"/>
    </row>
    <row r="570" spans="1:19" ht="15.75">
      <c r="A570" s="13">
        <v>58865</v>
      </c>
      <c r="B570" s="8">
        <f>19.7416 * CHOOSE(CONTROL!$C$15, $D$11, 100%, $F$11)</f>
        <v>19.741599999999998</v>
      </c>
      <c r="C570" s="8">
        <f>19.7468 * CHOOSE(CONTROL!$C$15, $D$11, 100%, $F$11)</f>
        <v>19.7468</v>
      </c>
      <c r="D570" s="8">
        <f>19.7292 * CHOOSE( CONTROL!$C$15, $D$11, 100%, $F$11)</f>
        <v>19.729199999999999</v>
      </c>
      <c r="E570" s="12">
        <f>19.7351 * CHOOSE( CONTROL!$C$15, $D$11, 100%, $F$11)</f>
        <v>19.735099999999999</v>
      </c>
      <c r="F570" s="4">
        <f>20.3921 * CHOOSE(CONTROL!$C$15, $D$11, 100%, $F$11)</f>
        <v>20.392099999999999</v>
      </c>
      <c r="G570" s="8">
        <f>19.2678 * CHOOSE( CONTROL!$C$15, $D$11, 100%, $F$11)</f>
        <v>19.267800000000001</v>
      </c>
      <c r="H570" s="4">
        <f>20.1518 * CHOOSE(CONTROL!$C$15, $D$11, 100%, $F$11)</f>
        <v>20.151800000000001</v>
      </c>
      <c r="I570" s="8">
        <f>19.0592 * CHOOSE(CONTROL!$C$15, $D$11, 100%, $F$11)</f>
        <v>19.059200000000001</v>
      </c>
      <c r="J570" s="4">
        <f>18.9267 * CHOOSE(CONTROL!$C$15, $D$11, 100%, $F$11)</f>
        <v>18.9267</v>
      </c>
      <c r="K570" s="4"/>
      <c r="L570" s="9">
        <v>26.469899999999999</v>
      </c>
      <c r="M570" s="9">
        <v>10.8962</v>
      </c>
      <c r="N570" s="9">
        <v>4.4660000000000002</v>
      </c>
      <c r="O570" s="9">
        <v>0.33789999999999998</v>
      </c>
      <c r="P570" s="9">
        <v>1.1676</v>
      </c>
      <c r="Q570" s="9">
        <v>17.782800000000002</v>
      </c>
      <c r="R570" s="9"/>
      <c r="S570" s="11"/>
    </row>
    <row r="571" spans="1:19" ht="15.75">
      <c r="A571" s="13">
        <v>58893</v>
      </c>
      <c r="B571" s="8">
        <f>19.3219 * CHOOSE(CONTROL!$C$15, $D$11, 100%, $F$11)</f>
        <v>19.321899999999999</v>
      </c>
      <c r="C571" s="8">
        <f>19.3271 * CHOOSE(CONTROL!$C$15, $D$11, 100%, $F$11)</f>
        <v>19.327100000000002</v>
      </c>
      <c r="D571" s="8">
        <f>19.3091 * CHOOSE( CONTROL!$C$15, $D$11, 100%, $F$11)</f>
        <v>19.309100000000001</v>
      </c>
      <c r="E571" s="12">
        <f>19.3151 * CHOOSE( CONTROL!$C$15, $D$11, 100%, $F$11)</f>
        <v>19.315100000000001</v>
      </c>
      <c r="F571" s="4">
        <f>19.9724 * CHOOSE(CONTROL!$C$15, $D$11, 100%, $F$11)</f>
        <v>19.9724</v>
      </c>
      <c r="G571" s="8">
        <f>18.8576 * CHOOSE( CONTROL!$C$15, $D$11, 100%, $F$11)</f>
        <v>18.857600000000001</v>
      </c>
      <c r="H571" s="4">
        <f>19.7419 * CHOOSE(CONTROL!$C$15, $D$11, 100%, $F$11)</f>
        <v>19.741900000000001</v>
      </c>
      <c r="I571" s="8">
        <f>18.6549 * CHOOSE(CONTROL!$C$15, $D$11, 100%, $F$11)</f>
        <v>18.654900000000001</v>
      </c>
      <c r="J571" s="4">
        <f>18.5238 * CHOOSE(CONTROL!$C$15, $D$11, 100%, $F$11)</f>
        <v>18.523800000000001</v>
      </c>
      <c r="K571" s="4"/>
      <c r="L571" s="9">
        <v>29.306000000000001</v>
      </c>
      <c r="M571" s="9">
        <v>12.063700000000001</v>
      </c>
      <c r="N571" s="9">
        <v>4.9444999999999997</v>
      </c>
      <c r="O571" s="9">
        <v>0.37409999999999999</v>
      </c>
      <c r="P571" s="9">
        <v>1.2927</v>
      </c>
      <c r="Q571" s="9">
        <v>19.688099999999999</v>
      </c>
      <c r="R571" s="9"/>
      <c r="S571" s="11"/>
    </row>
    <row r="572" spans="1:19" ht="15.75">
      <c r="A572" s="13">
        <v>58926</v>
      </c>
      <c r="B572" s="8">
        <f>19.616 * CHOOSE(CONTROL!$C$15, $D$11, 100%, $F$11)</f>
        <v>19.616</v>
      </c>
      <c r="C572" s="8">
        <f>19.6206 * CHOOSE(CONTROL!$C$15, $D$11, 100%, $F$11)</f>
        <v>19.6206</v>
      </c>
      <c r="D572" s="8">
        <f>19.6517 * CHOOSE( CONTROL!$C$15, $D$11, 100%, $F$11)</f>
        <v>19.651700000000002</v>
      </c>
      <c r="E572" s="12">
        <f>19.6409 * CHOOSE( CONTROL!$C$15, $D$11, 100%, $F$11)</f>
        <v>19.640899999999998</v>
      </c>
      <c r="F572" s="4">
        <f>20.3297 * CHOOSE(CONTROL!$C$15, $D$11, 100%, $F$11)</f>
        <v>20.329699999999999</v>
      </c>
      <c r="G572" s="8">
        <f>19.1449 * CHOOSE( CONTROL!$C$15, $D$11, 100%, $F$11)</f>
        <v>19.1449</v>
      </c>
      <c r="H572" s="4">
        <f>20.0909 * CHOOSE(CONTROL!$C$15, $D$11, 100%, $F$11)</f>
        <v>20.090900000000001</v>
      </c>
      <c r="I572" s="8">
        <f>18.9271 * CHOOSE(CONTROL!$C$15, $D$11, 100%, $F$11)</f>
        <v>18.927099999999999</v>
      </c>
      <c r="J572" s="4">
        <f>18.8054 * CHOOSE(CONTROL!$C$15, $D$11, 100%, $F$11)</f>
        <v>18.805399999999999</v>
      </c>
      <c r="K572" s="4"/>
      <c r="L572" s="9">
        <v>30.092199999999998</v>
      </c>
      <c r="M572" s="9">
        <v>11.6745</v>
      </c>
      <c r="N572" s="9">
        <v>4.7850000000000001</v>
      </c>
      <c r="O572" s="9">
        <v>0.36199999999999999</v>
      </c>
      <c r="P572" s="9">
        <v>1.1791</v>
      </c>
      <c r="Q572" s="9">
        <v>19.053000000000001</v>
      </c>
      <c r="R572" s="9"/>
      <c r="S572" s="11"/>
    </row>
    <row r="573" spans="1:19" ht="15.75">
      <c r="A573" s="13">
        <v>58957</v>
      </c>
      <c r="B573" s="8">
        <f>CHOOSE( CONTROL!$C$32, 20.1448, 20.1392) * CHOOSE(CONTROL!$C$15, $D$11, 100%, $F$11)</f>
        <v>20.1448</v>
      </c>
      <c r="C573" s="8">
        <f>CHOOSE( CONTROL!$C$32, 20.1529, 20.1473) * CHOOSE(CONTROL!$C$15, $D$11, 100%, $F$11)</f>
        <v>20.152899999999999</v>
      </c>
      <c r="D573" s="8">
        <f>CHOOSE( CONTROL!$C$32, 20.1789, 20.1733) * CHOOSE( CONTROL!$C$15, $D$11, 100%, $F$11)</f>
        <v>20.178899999999999</v>
      </c>
      <c r="E573" s="12">
        <f>CHOOSE( CONTROL!$C$32, 20.1682, 20.1626) * CHOOSE( CONTROL!$C$15, $D$11, 100%, $F$11)</f>
        <v>20.168199999999999</v>
      </c>
      <c r="F573" s="4">
        <f>CHOOSE( CONTROL!$C$32, 20.8572, 20.8516) * CHOOSE(CONTROL!$C$15, $D$11, 100%, $F$11)</f>
        <v>20.857199999999999</v>
      </c>
      <c r="G573" s="8">
        <f>CHOOSE( CONTROL!$C$32, 19.6612, 19.6558) * CHOOSE( CONTROL!$C$15, $D$11, 100%, $F$11)</f>
        <v>19.661200000000001</v>
      </c>
      <c r="H573" s="4">
        <f>CHOOSE( CONTROL!$C$32, 20.6061, 20.6006) * CHOOSE(CONTROL!$C$15, $D$11, 100%, $F$11)</f>
        <v>20.606100000000001</v>
      </c>
      <c r="I573" s="8">
        <f>CHOOSE( CONTROL!$C$32, 19.4337, 19.4284) * CHOOSE(CONTROL!$C$15, $D$11, 100%, $F$11)</f>
        <v>19.433700000000002</v>
      </c>
      <c r="J573" s="4">
        <f>CHOOSE( CONTROL!$C$32, 19.3118, 19.3064) * CHOOSE(CONTROL!$C$15, $D$11, 100%, $F$11)</f>
        <v>19.311800000000002</v>
      </c>
      <c r="K573" s="4"/>
      <c r="L573" s="9">
        <v>30.7165</v>
      </c>
      <c r="M573" s="9">
        <v>12.063700000000001</v>
      </c>
      <c r="N573" s="9">
        <v>4.9444999999999997</v>
      </c>
      <c r="O573" s="9">
        <v>0.37409999999999999</v>
      </c>
      <c r="P573" s="9">
        <v>1.2183999999999999</v>
      </c>
      <c r="Q573" s="9">
        <v>19.688099999999999</v>
      </c>
      <c r="R573" s="9"/>
      <c r="S573" s="11"/>
    </row>
    <row r="574" spans="1:19" ht="15.75">
      <c r="A574" s="13">
        <v>58987</v>
      </c>
      <c r="B574" s="8">
        <f>CHOOSE( CONTROL!$C$32, 19.8215, 19.8159) * CHOOSE(CONTROL!$C$15, $D$11, 100%, $F$11)</f>
        <v>19.8215</v>
      </c>
      <c r="C574" s="8">
        <f>CHOOSE( CONTROL!$C$32, 19.8296, 19.824) * CHOOSE(CONTROL!$C$15, $D$11, 100%, $F$11)</f>
        <v>19.829599999999999</v>
      </c>
      <c r="D574" s="8">
        <f>CHOOSE( CONTROL!$C$32, 19.8557, 19.8502) * CHOOSE( CONTROL!$C$15, $D$11, 100%, $F$11)</f>
        <v>19.855699999999999</v>
      </c>
      <c r="E574" s="12">
        <f>CHOOSE( CONTROL!$C$32, 19.845, 19.8395) * CHOOSE( CONTROL!$C$15, $D$11, 100%, $F$11)</f>
        <v>19.844999999999999</v>
      </c>
      <c r="F574" s="4">
        <f>CHOOSE( CONTROL!$C$32, 20.5339, 20.5283) * CHOOSE(CONTROL!$C$15, $D$11, 100%, $F$11)</f>
        <v>20.533899999999999</v>
      </c>
      <c r="G574" s="8">
        <f>CHOOSE( CONTROL!$C$32, 19.3457, 19.3402) * CHOOSE( CONTROL!$C$15, $D$11, 100%, $F$11)</f>
        <v>19.345700000000001</v>
      </c>
      <c r="H574" s="4">
        <f>CHOOSE( CONTROL!$C$32, 20.2903, 20.2848) * CHOOSE(CONTROL!$C$15, $D$11, 100%, $F$11)</f>
        <v>20.290299999999998</v>
      </c>
      <c r="I574" s="8">
        <f>CHOOSE( CONTROL!$C$32, 19.124, 19.1186) * CHOOSE(CONTROL!$C$15, $D$11, 100%, $F$11)</f>
        <v>19.123999999999999</v>
      </c>
      <c r="J574" s="4">
        <f>CHOOSE( CONTROL!$C$32, 19.0014, 18.996) * CHOOSE(CONTROL!$C$15, $D$11, 100%, $F$11)</f>
        <v>19.0014</v>
      </c>
      <c r="K574" s="4"/>
      <c r="L574" s="9">
        <v>29.7257</v>
      </c>
      <c r="M574" s="9">
        <v>11.6745</v>
      </c>
      <c r="N574" s="9">
        <v>4.7850000000000001</v>
      </c>
      <c r="O574" s="9">
        <v>0.36199999999999999</v>
      </c>
      <c r="P574" s="9">
        <v>1.1791</v>
      </c>
      <c r="Q574" s="9">
        <v>19.053000000000001</v>
      </c>
      <c r="R574" s="9"/>
      <c r="S574" s="11"/>
    </row>
    <row r="575" spans="1:19" ht="15.75">
      <c r="A575" s="13">
        <v>59018</v>
      </c>
      <c r="B575" s="8">
        <f>CHOOSE( CONTROL!$C$32, 20.6729, 20.6673) * CHOOSE(CONTROL!$C$15, $D$11, 100%, $F$11)</f>
        <v>20.672899999999998</v>
      </c>
      <c r="C575" s="8">
        <f>CHOOSE( CONTROL!$C$32, 20.681, 20.6754) * CHOOSE(CONTROL!$C$15, $D$11, 100%, $F$11)</f>
        <v>20.681000000000001</v>
      </c>
      <c r="D575" s="8">
        <f>CHOOSE( CONTROL!$C$32, 20.7073, 20.7017) * CHOOSE( CONTROL!$C$15, $D$11, 100%, $F$11)</f>
        <v>20.7073</v>
      </c>
      <c r="E575" s="12">
        <f>CHOOSE( CONTROL!$C$32, 20.6965, 20.6909) * CHOOSE( CONTROL!$C$15, $D$11, 100%, $F$11)</f>
        <v>20.6965</v>
      </c>
      <c r="F575" s="4">
        <f>CHOOSE( CONTROL!$C$32, 21.3853, 21.3797) * CHOOSE(CONTROL!$C$15, $D$11, 100%, $F$11)</f>
        <v>21.385300000000001</v>
      </c>
      <c r="G575" s="8">
        <f>CHOOSE( CONTROL!$C$32, 20.1775, 20.1721) * CHOOSE( CONTROL!$C$15, $D$11, 100%, $F$11)</f>
        <v>20.177499999999998</v>
      </c>
      <c r="H575" s="4">
        <f>CHOOSE( CONTROL!$C$32, 21.1218, 21.1164) * CHOOSE(CONTROL!$C$15, $D$11, 100%, $F$11)</f>
        <v>21.1218</v>
      </c>
      <c r="I575" s="8">
        <f>CHOOSE( CONTROL!$C$32, 19.9427, 19.9374) * CHOOSE(CONTROL!$C$15, $D$11, 100%, $F$11)</f>
        <v>19.942699999999999</v>
      </c>
      <c r="J575" s="4">
        <f>CHOOSE( CONTROL!$C$32, 19.8188, 19.8135) * CHOOSE(CONTROL!$C$15, $D$11, 100%, $F$11)</f>
        <v>19.8188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1.2183999999999999</v>
      </c>
      <c r="Q575" s="9">
        <v>19.688099999999999</v>
      </c>
      <c r="R575" s="9"/>
      <c r="S575" s="11"/>
    </row>
    <row r="576" spans="1:19" ht="15.75">
      <c r="A576" s="13">
        <v>59049</v>
      </c>
      <c r="B576" s="8">
        <f>CHOOSE( CONTROL!$C$32, 19.0799, 19.0743) * CHOOSE(CONTROL!$C$15, $D$11, 100%, $F$11)</f>
        <v>19.079899999999999</v>
      </c>
      <c r="C576" s="8">
        <f>CHOOSE( CONTROL!$C$32, 19.0879, 19.0824) * CHOOSE(CONTROL!$C$15, $D$11, 100%, $F$11)</f>
        <v>19.087900000000001</v>
      </c>
      <c r="D576" s="8">
        <f>CHOOSE( CONTROL!$C$32, 19.1143, 19.1088) * CHOOSE( CONTROL!$C$15, $D$11, 100%, $F$11)</f>
        <v>19.1143</v>
      </c>
      <c r="E576" s="12">
        <f>CHOOSE( CONTROL!$C$32, 19.1035, 19.098) * CHOOSE( CONTROL!$C$15, $D$11, 100%, $F$11)</f>
        <v>19.1035</v>
      </c>
      <c r="F576" s="4">
        <f>CHOOSE( CONTROL!$C$32, 19.7922, 19.7867) * CHOOSE(CONTROL!$C$15, $D$11, 100%, $F$11)</f>
        <v>19.792200000000001</v>
      </c>
      <c r="G576" s="8">
        <f>CHOOSE( CONTROL!$C$32, 18.6217, 18.6163) * CHOOSE( CONTROL!$C$15, $D$11, 100%, $F$11)</f>
        <v>18.621700000000001</v>
      </c>
      <c r="H576" s="4">
        <f>CHOOSE( CONTROL!$C$32, 19.5659, 19.5605) * CHOOSE(CONTROL!$C$15, $D$11, 100%, $F$11)</f>
        <v>19.565899999999999</v>
      </c>
      <c r="I576" s="8">
        <f>CHOOSE( CONTROL!$C$32, 18.4128, 18.4075) * CHOOSE(CONTROL!$C$15, $D$11, 100%, $F$11)</f>
        <v>18.412800000000001</v>
      </c>
      <c r="J576" s="4">
        <f>CHOOSE( CONTROL!$C$32, 18.2893, 18.284) * CHOOSE(CONTROL!$C$15, $D$11, 100%, $F$11)</f>
        <v>18.289300000000001</v>
      </c>
      <c r="K576" s="4"/>
      <c r="L576" s="9">
        <v>30.7165</v>
      </c>
      <c r="M576" s="9">
        <v>12.063700000000001</v>
      </c>
      <c r="N576" s="9">
        <v>4.9444999999999997</v>
      </c>
      <c r="O576" s="9">
        <v>0.37409999999999999</v>
      </c>
      <c r="P576" s="9">
        <v>1.2183999999999999</v>
      </c>
      <c r="Q576" s="9">
        <v>19.688099999999999</v>
      </c>
      <c r="R576" s="9"/>
      <c r="S576" s="11"/>
    </row>
    <row r="577" spans="1:19" ht="15.75">
      <c r="A577" s="13">
        <v>59079</v>
      </c>
      <c r="B577" s="8">
        <f>CHOOSE( CONTROL!$C$32, 18.6809, 18.6754) * CHOOSE(CONTROL!$C$15, $D$11, 100%, $F$11)</f>
        <v>18.680900000000001</v>
      </c>
      <c r="C577" s="8">
        <f>CHOOSE( CONTROL!$C$32, 18.689, 18.6835) * CHOOSE(CONTROL!$C$15, $D$11, 100%, $F$11)</f>
        <v>18.689</v>
      </c>
      <c r="D577" s="8">
        <f>CHOOSE( CONTROL!$C$32, 18.7154, 18.7098) * CHOOSE( CONTROL!$C$15, $D$11, 100%, $F$11)</f>
        <v>18.715399999999999</v>
      </c>
      <c r="E577" s="12">
        <f>CHOOSE( CONTROL!$C$32, 18.7046, 18.699) * CHOOSE( CONTROL!$C$15, $D$11, 100%, $F$11)</f>
        <v>18.704599999999999</v>
      </c>
      <c r="F577" s="4">
        <f>CHOOSE( CONTROL!$C$32, 19.3933, 19.3878) * CHOOSE(CONTROL!$C$15, $D$11, 100%, $F$11)</f>
        <v>19.3933</v>
      </c>
      <c r="G577" s="8">
        <f>CHOOSE( CONTROL!$C$32, 18.232, 18.2266) * CHOOSE( CONTROL!$C$15, $D$11, 100%, $F$11)</f>
        <v>18.231999999999999</v>
      </c>
      <c r="H577" s="4">
        <f>CHOOSE( CONTROL!$C$32, 19.1763, 19.1709) * CHOOSE(CONTROL!$C$15, $D$11, 100%, $F$11)</f>
        <v>19.176300000000001</v>
      </c>
      <c r="I577" s="8">
        <f>CHOOSE( CONTROL!$C$32, 18.0294, 18.024) * CHOOSE(CONTROL!$C$15, $D$11, 100%, $F$11)</f>
        <v>18.029399999999999</v>
      </c>
      <c r="J577" s="4">
        <f>CHOOSE( CONTROL!$C$32, 17.9064, 17.901) * CHOOSE(CONTROL!$C$15, $D$11, 100%, $F$11)</f>
        <v>17.906400000000001</v>
      </c>
      <c r="K577" s="4"/>
      <c r="L577" s="9">
        <v>29.7257</v>
      </c>
      <c r="M577" s="9">
        <v>11.6745</v>
      </c>
      <c r="N577" s="9">
        <v>4.7850000000000001</v>
      </c>
      <c r="O577" s="9">
        <v>0.36199999999999999</v>
      </c>
      <c r="P577" s="9">
        <v>1.1791</v>
      </c>
      <c r="Q577" s="9">
        <v>19.053000000000001</v>
      </c>
      <c r="R577" s="9"/>
      <c r="S577" s="11"/>
    </row>
    <row r="578" spans="1:19" ht="15.75">
      <c r="A578" s="13">
        <v>59110</v>
      </c>
      <c r="B578" s="8">
        <f>19.5019 * CHOOSE(CONTROL!$C$15, $D$11, 100%, $F$11)</f>
        <v>19.501899999999999</v>
      </c>
      <c r="C578" s="8">
        <f>19.5074 * CHOOSE(CONTROL!$C$15, $D$11, 100%, $F$11)</f>
        <v>19.507400000000001</v>
      </c>
      <c r="D578" s="8">
        <f>19.5385 * CHOOSE( CONTROL!$C$15, $D$11, 100%, $F$11)</f>
        <v>19.538499999999999</v>
      </c>
      <c r="E578" s="12">
        <f>19.5276 * CHOOSE( CONTROL!$C$15, $D$11, 100%, $F$11)</f>
        <v>19.5276</v>
      </c>
      <c r="F578" s="4">
        <f>20.216 * CHOOSE(CONTROL!$C$15, $D$11, 100%, $F$11)</f>
        <v>20.216000000000001</v>
      </c>
      <c r="G578" s="8">
        <f>19.0347 * CHOOSE( CONTROL!$C$15, $D$11, 100%, $F$11)</f>
        <v>19.034700000000001</v>
      </c>
      <c r="H578" s="4">
        <f>19.9798 * CHOOSE(CONTROL!$C$15, $D$11, 100%, $F$11)</f>
        <v>19.979800000000001</v>
      </c>
      <c r="I578" s="8">
        <f>18.8205 * CHOOSE(CONTROL!$C$15, $D$11, 100%, $F$11)</f>
        <v>18.820499999999999</v>
      </c>
      <c r="J578" s="4">
        <f>18.6962 * CHOOSE(CONTROL!$C$15, $D$11, 100%, $F$11)</f>
        <v>18.696200000000001</v>
      </c>
      <c r="K578" s="4"/>
      <c r="L578" s="9">
        <v>31.095300000000002</v>
      </c>
      <c r="M578" s="9">
        <v>12.063700000000001</v>
      </c>
      <c r="N578" s="9">
        <v>4.9444999999999997</v>
      </c>
      <c r="O578" s="9">
        <v>0.37409999999999999</v>
      </c>
      <c r="P578" s="9">
        <v>1.2183999999999999</v>
      </c>
      <c r="Q578" s="9">
        <v>19.688099999999999</v>
      </c>
      <c r="R578" s="9"/>
      <c r="S578" s="11"/>
    </row>
    <row r="579" spans="1:19" ht="15.75">
      <c r="A579" s="13">
        <v>59140</v>
      </c>
      <c r="B579" s="8">
        <f>21.0303 * CHOOSE(CONTROL!$C$15, $D$11, 100%, $F$11)</f>
        <v>21.0303</v>
      </c>
      <c r="C579" s="8">
        <f>21.0355 * CHOOSE(CONTROL!$C$15, $D$11, 100%, $F$11)</f>
        <v>21.035499999999999</v>
      </c>
      <c r="D579" s="8">
        <f>21.0218 * CHOOSE( CONTROL!$C$15, $D$11, 100%, $F$11)</f>
        <v>21.021799999999999</v>
      </c>
      <c r="E579" s="12">
        <f>21.0263 * CHOOSE( CONTROL!$C$15, $D$11, 100%, $F$11)</f>
        <v>21.026299999999999</v>
      </c>
      <c r="F579" s="4">
        <f>21.6808 * CHOOSE(CONTROL!$C$15, $D$11, 100%, $F$11)</f>
        <v>21.680800000000001</v>
      </c>
      <c r="G579" s="8">
        <f>20.5355 * CHOOSE( CONTROL!$C$15, $D$11, 100%, $F$11)</f>
        <v>20.535499999999999</v>
      </c>
      <c r="H579" s="4">
        <f>21.4105 * CHOOSE(CONTROL!$C$15, $D$11, 100%, $F$11)</f>
        <v>21.410499999999999</v>
      </c>
      <c r="I579" s="8">
        <f>20.3327 * CHOOSE(CONTROL!$C$15, $D$11, 100%, $F$11)</f>
        <v>20.332699999999999</v>
      </c>
      <c r="J579" s="4">
        <f>20.1641 * CHOOSE(CONTROL!$C$15, $D$11, 100%, $F$11)</f>
        <v>20.164100000000001</v>
      </c>
      <c r="K579" s="4"/>
      <c r="L579" s="9">
        <v>28.360600000000002</v>
      </c>
      <c r="M579" s="9">
        <v>11.6745</v>
      </c>
      <c r="N579" s="9">
        <v>4.7850000000000001</v>
      </c>
      <c r="O579" s="9">
        <v>0.36199999999999999</v>
      </c>
      <c r="P579" s="9">
        <v>1.2509999999999999</v>
      </c>
      <c r="Q579" s="9">
        <v>19.053000000000001</v>
      </c>
      <c r="R579" s="9"/>
      <c r="S579" s="11"/>
    </row>
    <row r="580" spans="1:19" ht="15.75">
      <c r="A580" s="13">
        <v>59171</v>
      </c>
      <c r="B580" s="8">
        <f>20.9921 * CHOOSE(CONTROL!$C$15, $D$11, 100%, $F$11)</f>
        <v>20.992100000000001</v>
      </c>
      <c r="C580" s="8">
        <f>20.9973 * CHOOSE(CONTROL!$C$15, $D$11, 100%, $F$11)</f>
        <v>20.997299999999999</v>
      </c>
      <c r="D580" s="8">
        <f>20.9851 * CHOOSE( CONTROL!$C$15, $D$11, 100%, $F$11)</f>
        <v>20.985099999999999</v>
      </c>
      <c r="E580" s="12">
        <f>20.989 * CHOOSE( CONTROL!$C$15, $D$11, 100%, $F$11)</f>
        <v>20.989000000000001</v>
      </c>
      <c r="F580" s="4">
        <f>21.6426 * CHOOSE(CONTROL!$C$15, $D$11, 100%, $F$11)</f>
        <v>21.642600000000002</v>
      </c>
      <c r="G580" s="8">
        <f>20.4993 * CHOOSE( CONTROL!$C$15, $D$11, 100%, $F$11)</f>
        <v>20.499300000000002</v>
      </c>
      <c r="H580" s="4">
        <f>21.3732 * CHOOSE(CONTROL!$C$15, $D$11, 100%, $F$11)</f>
        <v>21.373200000000001</v>
      </c>
      <c r="I580" s="8">
        <f>20.3008 * CHOOSE(CONTROL!$C$15, $D$11, 100%, $F$11)</f>
        <v>20.300799999999999</v>
      </c>
      <c r="J580" s="4">
        <f>20.1274 * CHOOSE(CONTROL!$C$15, $D$11, 100%, $F$11)</f>
        <v>20.127400000000002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59202</v>
      </c>
      <c r="B581" s="8">
        <f>21.7934 * CHOOSE(CONTROL!$C$15, $D$11, 100%, $F$11)</f>
        <v>21.793399999999998</v>
      </c>
      <c r="C581" s="8">
        <f>21.7986 * CHOOSE(CONTROL!$C$15, $D$11, 100%, $F$11)</f>
        <v>21.7986</v>
      </c>
      <c r="D581" s="8">
        <f>21.781 * CHOOSE( CONTROL!$C$15, $D$11, 100%, $F$11)</f>
        <v>21.780999999999999</v>
      </c>
      <c r="E581" s="12">
        <f>21.7869 * CHOOSE( CONTROL!$C$15, $D$11, 100%, $F$11)</f>
        <v>21.786899999999999</v>
      </c>
      <c r="F581" s="4">
        <f>22.4438 * CHOOSE(CONTROL!$C$15, $D$11, 100%, $F$11)</f>
        <v>22.4438</v>
      </c>
      <c r="G581" s="8">
        <f>21.2718 * CHOOSE( CONTROL!$C$15, $D$11, 100%, $F$11)</f>
        <v>21.271799999999999</v>
      </c>
      <c r="H581" s="4">
        <f>22.1557 * CHOOSE(CONTROL!$C$15, $D$11, 100%, $F$11)</f>
        <v>22.1557</v>
      </c>
      <c r="I581" s="8">
        <f>21.0303 * CHOOSE(CONTROL!$C$15, $D$11, 100%, $F$11)</f>
        <v>21.0303</v>
      </c>
      <c r="J581" s="4">
        <f>20.8966 * CHOOSE(CONTROL!$C$15, $D$11, 100%, $F$11)</f>
        <v>20.896599999999999</v>
      </c>
      <c r="K581" s="4"/>
      <c r="L581" s="9">
        <v>29.306000000000001</v>
      </c>
      <c r="M581" s="9">
        <v>12.063700000000001</v>
      </c>
      <c r="N581" s="9">
        <v>4.9444999999999997</v>
      </c>
      <c r="O581" s="9">
        <v>0.37409999999999999</v>
      </c>
      <c r="P581" s="9">
        <v>1.2927</v>
      </c>
      <c r="Q581" s="9">
        <v>19.688099999999999</v>
      </c>
      <c r="R581" s="9"/>
      <c r="S581" s="11"/>
    </row>
    <row r="582" spans="1:19" ht="15.75">
      <c r="A582" s="13">
        <v>59230</v>
      </c>
      <c r="B582" s="8">
        <f>20.3863 * CHOOSE(CONTROL!$C$15, $D$11, 100%, $F$11)</f>
        <v>20.386299999999999</v>
      </c>
      <c r="C582" s="8">
        <f>20.3915 * CHOOSE(CONTROL!$C$15, $D$11, 100%, $F$11)</f>
        <v>20.391500000000001</v>
      </c>
      <c r="D582" s="8">
        <f>20.3739 * CHOOSE( CONTROL!$C$15, $D$11, 100%, $F$11)</f>
        <v>20.373899999999999</v>
      </c>
      <c r="E582" s="12">
        <f>20.3798 * CHOOSE( CONTROL!$C$15, $D$11, 100%, $F$11)</f>
        <v>20.379799999999999</v>
      </c>
      <c r="F582" s="4">
        <f>21.0368 * CHOOSE(CONTROL!$C$15, $D$11, 100%, $F$11)</f>
        <v>21.036799999999999</v>
      </c>
      <c r="G582" s="8">
        <f>19.8975 * CHOOSE( CONTROL!$C$15, $D$11, 100%, $F$11)</f>
        <v>19.897500000000001</v>
      </c>
      <c r="H582" s="4">
        <f>20.7815 * CHOOSE(CONTROL!$C$15, $D$11, 100%, $F$11)</f>
        <v>20.781500000000001</v>
      </c>
      <c r="I582" s="8">
        <f>19.6785 * CHOOSE(CONTROL!$C$15, $D$11, 100%, $F$11)</f>
        <v>19.6785</v>
      </c>
      <c r="J582" s="4">
        <f>19.5457 * CHOOSE(CONTROL!$C$15, $D$11, 100%, $F$11)</f>
        <v>19.5457</v>
      </c>
      <c r="K582" s="4"/>
      <c r="L582" s="9">
        <v>26.469899999999999</v>
      </c>
      <c r="M582" s="9">
        <v>10.8962</v>
      </c>
      <c r="N582" s="9">
        <v>4.4660000000000002</v>
      </c>
      <c r="O582" s="9">
        <v>0.33789999999999998</v>
      </c>
      <c r="P582" s="9">
        <v>1.1676</v>
      </c>
      <c r="Q582" s="9">
        <v>17.782800000000002</v>
      </c>
      <c r="R582" s="9"/>
      <c r="S582" s="11"/>
    </row>
    <row r="583" spans="1:19" ht="15.75">
      <c r="A583" s="13">
        <v>59261</v>
      </c>
      <c r="B583" s="8">
        <f>19.9529 * CHOOSE(CONTROL!$C$15, $D$11, 100%, $F$11)</f>
        <v>19.9529</v>
      </c>
      <c r="C583" s="8">
        <f>19.9581 * CHOOSE(CONTROL!$C$15, $D$11, 100%, $F$11)</f>
        <v>19.958100000000002</v>
      </c>
      <c r="D583" s="8">
        <f>19.9401 * CHOOSE( CONTROL!$C$15, $D$11, 100%, $F$11)</f>
        <v>19.940100000000001</v>
      </c>
      <c r="E583" s="12">
        <f>19.9461 * CHOOSE( CONTROL!$C$15, $D$11, 100%, $F$11)</f>
        <v>19.946100000000001</v>
      </c>
      <c r="F583" s="4">
        <f>20.6034 * CHOOSE(CONTROL!$C$15, $D$11, 100%, $F$11)</f>
        <v>20.603400000000001</v>
      </c>
      <c r="G583" s="8">
        <f>19.4739 * CHOOSE( CONTROL!$C$15, $D$11, 100%, $F$11)</f>
        <v>19.4739</v>
      </c>
      <c r="H583" s="4">
        <f>20.3582 * CHOOSE(CONTROL!$C$15, $D$11, 100%, $F$11)</f>
        <v>20.3582</v>
      </c>
      <c r="I583" s="8">
        <f>19.261 * CHOOSE(CONTROL!$C$15, $D$11, 100%, $F$11)</f>
        <v>19.260999999999999</v>
      </c>
      <c r="J583" s="4">
        <f>19.1296 * CHOOSE(CONTROL!$C$15, $D$11, 100%, $F$11)</f>
        <v>19.1296</v>
      </c>
      <c r="K583" s="4"/>
      <c r="L583" s="9">
        <v>29.306000000000001</v>
      </c>
      <c r="M583" s="9">
        <v>12.063700000000001</v>
      </c>
      <c r="N583" s="9">
        <v>4.9444999999999997</v>
      </c>
      <c r="O583" s="9">
        <v>0.37409999999999999</v>
      </c>
      <c r="P583" s="9">
        <v>1.2927</v>
      </c>
      <c r="Q583" s="9">
        <v>19.688099999999999</v>
      </c>
      <c r="R583" s="9"/>
      <c r="S583" s="11"/>
    </row>
    <row r="584" spans="1:19" ht="15.75">
      <c r="A584" s="13">
        <v>59291</v>
      </c>
      <c r="B584" s="8">
        <f>20.2565 * CHOOSE(CONTROL!$C$15, $D$11, 100%, $F$11)</f>
        <v>20.256499999999999</v>
      </c>
      <c r="C584" s="8">
        <f>20.2611 * CHOOSE(CONTROL!$C$15, $D$11, 100%, $F$11)</f>
        <v>20.261099999999999</v>
      </c>
      <c r="D584" s="8">
        <f>20.2923 * CHOOSE( CONTROL!$C$15, $D$11, 100%, $F$11)</f>
        <v>20.292300000000001</v>
      </c>
      <c r="E584" s="12">
        <f>20.2815 * CHOOSE( CONTROL!$C$15, $D$11, 100%, $F$11)</f>
        <v>20.281500000000001</v>
      </c>
      <c r="F584" s="4">
        <f>20.9703 * CHOOSE(CONTROL!$C$15, $D$11, 100%, $F$11)</f>
        <v>20.970300000000002</v>
      </c>
      <c r="G584" s="8">
        <f>19.7705 * CHOOSE( CONTROL!$C$15, $D$11, 100%, $F$11)</f>
        <v>19.770499999999998</v>
      </c>
      <c r="H584" s="4">
        <f>20.7165 * CHOOSE(CONTROL!$C$15, $D$11, 100%, $F$11)</f>
        <v>20.7165</v>
      </c>
      <c r="I584" s="8">
        <f>19.5424 * CHOOSE(CONTROL!$C$15, $D$11, 100%, $F$11)</f>
        <v>19.542400000000001</v>
      </c>
      <c r="J584" s="4">
        <f>19.4204 * CHOOSE(CONTROL!$C$15, $D$11, 100%, $F$11)</f>
        <v>19.420400000000001</v>
      </c>
      <c r="K584" s="4"/>
      <c r="L584" s="9">
        <v>30.092199999999998</v>
      </c>
      <c r="M584" s="9">
        <v>11.6745</v>
      </c>
      <c r="N584" s="9">
        <v>4.7850000000000001</v>
      </c>
      <c r="O584" s="9">
        <v>0.36199999999999999</v>
      </c>
      <c r="P584" s="9">
        <v>1.1791</v>
      </c>
      <c r="Q584" s="9">
        <v>19.053000000000001</v>
      </c>
      <c r="R584" s="9"/>
      <c r="S584" s="11"/>
    </row>
    <row r="585" spans="1:19" ht="15.75">
      <c r="A585" s="13">
        <v>59322</v>
      </c>
      <c r="B585" s="8">
        <f>CHOOSE( CONTROL!$C$32, 20.8024, 20.7969) * CHOOSE(CONTROL!$C$15, $D$11, 100%, $F$11)</f>
        <v>20.802399999999999</v>
      </c>
      <c r="C585" s="8">
        <f>CHOOSE( CONTROL!$C$32, 20.8105, 20.8049) * CHOOSE(CONTROL!$C$15, $D$11, 100%, $F$11)</f>
        <v>20.810500000000001</v>
      </c>
      <c r="D585" s="8">
        <f>CHOOSE( CONTROL!$C$32, 20.8365, 20.8309) * CHOOSE( CONTROL!$C$15, $D$11, 100%, $F$11)</f>
        <v>20.836500000000001</v>
      </c>
      <c r="E585" s="12">
        <f>CHOOSE( CONTROL!$C$32, 20.8258, 20.8203) * CHOOSE( CONTROL!$C$15, $D$11, 100%, $F$11)</f>
        <v>20.825800000000001</v>
      </c>
      <c r="F585" s="4">
        <f>CHOOSE( CONTROL!$C$32, 21.5148, 21.5093) * CHOOSE(CONTROL!$C$15, $D$11, 100%, $F$11)</f>
        <v>21.514800000000001</v>
      </c>
      <c r="G585" s="8">
        <f>CHOOSE( CONTROL!$C$32, 20.3035, 20.2981) * CHOOSE( CONTROL!$C$15, $D$11, 100%, $F$11)</f>
        <v>20.3035</v>
      </c>
      <c r="H585" s="4">
        <f>CHOOSE( CONTROL!$C$32, 21.2484, 21.2429) * CHOOSE(CONTROL!$C$15, $D$11, 100%, $F$11)</f>
        <v>21.2484</v>
      </c>
      <c r="I585" s="8">
        <f>CHOOSE( CONTROL!$C$32, 20.0654, 20.0601) * CHOOSE(CONTROL!$C$15, $D$11, 100%, $F$11)</f>
        <v>20.0654</v>
      </c>
      <c r="J585" s="4">
        <f>CHOOSE( CONTROL!$C$32, 19.9432, 19.9378) * CHOOSE(CONTROL!$C$15, $D$11, 100%, $F$11)</f>
        <v>19.943200000000001</v>
      </c>
      <c r="K585" s="4"/>
      <c r="L585" s="9">
        <v>30.7165</v>
      </c>
      <c r="M585" s="9">
        <v>12.063700000000001</v>
      </c>
      <c r="N585" s="9">
        <v>4.9444999999999997</v>
      </c>
      <c r="O585" s="9">
        <v>0.37409999999999999</v>
      </c>
      <c r="P585" s="9">
        <v>1.2183999999999999</v>
      </c>
      <c r="Q585" s="9">
        <v>19.688099999999999</v>
      </c>
      <c r="R585" s="9"/>
      <c r="S585" s="11"/>
    </row>
    <row r="586" spans="1:19" ht="15.75">
      <c r="A586" s="13">
        <v>59352</v>
      </c>
      <c r="B586" s="8">
        <f>CHOOSE( CONTROL!$C$32, 20.4686, 20.463) * CHOOSE(CONTROL!$C$15, $D$11, 100%, $F$11)</f>
        <v>20.468599999999999</v>
      </c>
      <c r="C586" s="8">
        <f>CHOOSE( CONTROL!$C$32, 20.4766, 20.4711) * CHOOSE(CONTROL!$C$15, $D$11, 100%, $F$11)</f>
        <v>20.476600000000001</v>
      </c>
      <c r="D586" s="8">
        <f>CHOOSE( CONTROL!$C$32, 20.5028, 20.4972) * CHOOSE( CONTROL!$C$15, $D$11, 100%, $F$11)</f>
        <v>20.502800000000001</v>
      </c>
      <c r="E586" s="12">
        <f>CHOOSE( CONTROL!$C$32, 20.4921, 20.4865) * CHOOSE( CONTROL!$C$15, $D$11, 100%, $F$11)</f>
        <v>20.492100000000001</v>
      </c>
      <c r="F586" s="4">
        <f>CHOOSE( CONTROL!$C$32, 21.1809, 21.1754) * CHOOSE(CONTROL!$C$15, $D$11, 100%, $F$11)</f>
        <v>21.180900000000001</v>
      </c>
      <c r="G586" s="8">
        <f>CHOOSE( CONTROL!$C$32, 19.9777, 19.9722) * CHOOSE( CONTROL!$C$15, $D$11, 100%, $F$11)</f>
        <v>19.977699999999999</v>
      </c>
      <c r="H586" s="4">
        <f>CHOOSE( CONTROL!$C$32, 20.9223, 20.9168) * CHOOSE(CONTROL!$C$15, $D$11, 100%, $F$11)</f>
        <v>20.9223</v>
      </c>
      <c r="I586" s="8">
        <f>CHOOSE( CONTROL!$C$32, 19.7455, 19.7402) * CHOOSE(CONTROL!$C$15, $D$11, 100%, $F$11)</f>
        <v>19.7455</v>
      </c>
      <c r="J586" s="4">
        <f>CHOOSE( CONTROL!$C$32, 19.6226, 19.6173) * CHOOSE(CONTROL!$C$15, $D$11, 100%, $F$11)</f>
        <v>19.622599999999998</v>
      </c>
      <c r="K586" s="4"/>
      <c r="L586" s="9">
        <v>29.7257</v>
      </c>
      <c r="M586" s="9">
        <v>11.6745</v>
      </c>
      <c r="N586" s="9">
        <v>4.7850000000000001</v>
      </c>
      <c r="O586" s="9">
        <v>0.36199999999999999</v>
      </c>
      <c r="P586" s="9">
        <v>1.1791</v>
      </c>
      <c r="Q586" s="9">
        <v>19.053000000000001</v>
      </c>
      <c r="R586" s="9"/>
      <c r="S586" s="11"/>
    </row>
    <row r="587" spans="1:19" ht="15.75">
      <c r="A587" s="13">
        <v>59383</v>
      </c>
      <c r="B587" s="8">
        <f>CHOOSE( CONTROL!$C$32, 21.3478, 21.3422) * CHOOSE(CONTROL!$C$15, $D$11, 100%, $F$11)</f>
        <v>21.347799999999999</v>
      </c>
      <c r="C587" s="8">
        <f>CHOOSE( CONTROL!$C$32, 21.3559, 21.3503) * CHOOSE(CONTROL!$C$15, $D$11, 100%, $F$11)</f>
        <v>21.355899999999998</v>
      </c>
      <c r="D587" s="8">
        <f>CHOOSE( CONTROL!$C$32, 21.3822, 21.3766) * CHOOSE( CONTROL!$C$15, $D$11, 100%, $F$11)</f>
        <v>21.382200000000001</v>
      </c>
      <c r="E587" s="12">
        <f>CHOOSE( CONTROL!$C$32, 21.3714, 21.3658) * CHOOSE( CONTROL!$C$15, $D$11, 100%, $F$11)</f>
        <v>21.371400000000001</v>
      </c>
      <c r="F587" s="4">
        <f>CHOOSE( CONTROL!$C$32, 22.0602, 22.0546) * CHOOSE(CONTROL!$C$15, $D$11, 100%, $F$11)</f>
        <v>22.060199999999998</v>
      </c>
      <c r="G587" s="8">
        <f>CHOOSE( CONTROL!$C$32, 20.8367, 20.8313) * CHOOSE( CONTROL!$C$15, $D$11, 100%, $F$11)</f>
        <v>20.8367</v>
      </c>
      <c r="H587" s="4">
        <f>CHOOSE( CONTROL!$C$32, 21.781, 21.7756) * CHOOSE(CONTROL!$C$15, $D$11, 100%, $F$11)</f>
        <v>21.780999999999999</v>
      </c>
      <c r="I587" s="8">
        <f>CHOOSE( CONTROL!$C$32, 20.591, 20.5857) * CHOOSE(CONTROL!$C$15, $D$11, 100%, $F$11)</f>
        <v>20.591000000000001</v>
      </c>
      <c r="J587" s="4">
        <f>CHOOSE( CONTROL!$C$32, 20.4668, 20.4614) * CHOOSE(CONTROL!$C$15, $D$11, 100%, $F$11)</f>
        <v>20.466799999999999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1.2183999999999999</v>
      </c>
      <c r="Q587" s="9">
        <v>19.688099999999999</v>
      </c>
      <c r="R587" s="9"/>
      <c r="S587" s="11"/>
    </row>
    <row r="588" spans="1:19" ht="15.75">
      <c r="A588" s="13">
        <v>59414</v>
      </c>
      <c r="B588" s="8">
        <f>CHOOSE( CONTROL!$C$32, 19.7027, 19.6971) * CHOOSE(CONTROL!$C$15, $D$11, 100%, $F$11)</f>
        <v>19.7027</v>
      </c>
      <c r="C588" s="8">
        <f>CHOOSE( CONTROL!$C$32, 19.7107, 19.7052) * CHOOSE(CONTROL!$C$15, $D$11, 100%, $F$11)</f>
        <v>19.710699999999999</v>
      </c>
      <c r="D588" s="8">
        <f>CHOOSE( CONTROL!$C$32, 19.7371, 19.7316) * CHOOSE( CONTROL!$C$15, $D$11, 100%, $F$11)</f>
        <v>19.737100000000002</v>
      </c>
      <c r="E588" s="12">
        <f>CHOOSE( CONTROL!$C$32, 19.7263, 19.7208) * CHOOSE( CONTROL!$C$15, $D$11, 100%, $F$11)</f>
        <v>19.726299999999998</v>
      </c>
      <c r="F588" s="4">
        <f>CHOOSE( CONTROL!$C$32, 20.4151, 20.4095) * CHOOSE(CONTROL!$C$15, $D$11, 100%, $F$11)</f>
        <v>20.415099999999999</v>
      </c>
      <c r="G588" s="8">
        <f>CHOOSE( CONTROL!$C$32, 19.23, 19.2246) * CHOOSE( CONTROL!$C$15, $D$11, 100%, $F$11)</f>
        <v>19.23</v>
      </c>
      <c r="H588" s="4">
        <f>CHOOSE( CONTROL!$C$32, 20.1742, 20.1688) * CHOOSE(CONTROL!$C$15, $D$11, 100%, $F$11)</f>
        <v>20.174199999999999</v>
      </c>
      <c r="I588" s="8">
        <f>CHOOSE( CONTROL!$C$32, 19.0111, 19.0057) * CHOOSE(CONTROL!$C$15, $D$11, 100%, $F$11)</f>
        <v>19.011099999999999</v>
      </c>
      <c r="J588" s="4">
        <f>CHOOSE( CONTROL!$C$32, 18.8873, 18.882) * CHOOSE(CONTROL!$C$15, $D$11, 100%, $F$11)</f>
        <v>18.8873</v>
      </c>
      <c r="K588" s="4"/>
      <c r="L588" s="9">
        <v>30.7165</v>
      </c>
      <c r="M588" s="9">
        <v>12.063700000000001</v>
      </c>
      <c r="N588" s="9">
        <v>4.9444999999999997</v>
      </c>
      <c r="O588" s="9">
        <v>0.37409999999999999</v>
      </c>
      <c r="P588" s="9">
        <v>1.2183999999999999</v>
      </c>
      <c r="Q588" s="9">
        <v>19.688099999999999</v>
      </c>
      <c r="R588" s="9"/>
      <c r="S588" s="11"/>
    </row>
    <row r="589" spans="1:19" ht="15.75">
      <c r="A589" s="13">
        <v>59444</v>
      </c>
      <c r="B589" s="8">
        <f>CHOOSE( CONTROL!$C$32, 19.2907, 19.2851) * CHOOSE(CONTROL!$C$15, $D$11, 100%, $F$11)</f>
        <v>19.290700000000001</v>
      </c>
      <c r="C589" s="8">
        <f>CHOOSE( CONTROL!$C$32, 19.2988, 19.2932) * CHOOSE(CONTROL!$C$15, $D$11, 100%, $F$11)</f>
        <v>19.2988</v>
      </c>
      <c r="D589" s="8">
        <f>CHOOSE( CONTROL!$C$32, 19.3251, 19.3196) * CHOOSE( CONTROL!$C$15, $D$11, 100%, $F$11)</f>
        <v>19.325099999999999</v>
      </c>
      <c r="E589" s="12">
        <f>CHOOSE( CONTROL!$C$32, 19.3143, 19.3088) * CHOOSE( CONTROL!$C$15, $D$11, 100%, $F$11)</f>
        <v>19.314299999999999</v>
      </c>
      <c r="F589" s="4">
        <f>CHOOSE( CONTROL!$C$32, 20.0031, 19.9975) * CHOOSE(CONTROL!$C$15, $D$11, 100%, $F$11)</f>
        <v>20.0031</v>
      </c>
      <c r="G589" s="8">
        <f>CHOOSE( CONTROL!$C$32, 18.8276, 18.8221) * CHOOSE( CONTROL!$C$15, $D$11, 100%, $F$11)</f>
        <v>18.8276</v>
      </c>
      <c r="H589" s="4">
        <f>CHOOSE( CONTROL!$C$32, 19.7719, 19.7664) * CHOOSE(CONTROL!$C$15, $D$11, 100%, $F$11)</f>
        <v>19.771899999999999</v>
      </c>
      <c r="I589" s="8">
        <f>CHOOSE( CONTROL!$C$32, 18.6151, 18.6098) * CHOOSE(CONTROL!$C$15, $D$11, 100%, $F$11)</f>
        <v>18.615100000000002</v>
      </c>
      <c r="J589" s="4">
        <f>CHOOSE( CONTROL!$C$32, 18.4918, 18.4864) * CHOOSE(CONTROL!$C$15, $D$11, 100%, $F$11)</f>
        <v>18.491800000000001</v>
      </c>
      <c r="K589" s="4"/>
      <c r="L589" s="9">
        <v>29.7257</v>
      </c>
      <c r="M589" s="9">
        <v>11.6745</v>
      </c>
      <c r="N589" s="9">
        <v>4.7850000000000001</v>
      </c>
      <c r="O589" s="9">
        <v>0.36199999999999999</v>
      </c>
      <c r="P589" s="9">
        <v>1.1791</v>
      </c>
      <c r="Q589" s="9">
        <v>19.053000000000001</v>
      </c>
      <c r="R589" s="9"/>
      <c r="S589" s="11"/>
    </row>
    <row r="590" spans="1:19" ht="15.75">
      <c r="A590" s="13">
        <v>59475</v>
      </c>
      <c r="B590" s="8">
        <f>20.1388 * CHOOSE(CONTROL!$C$15, $D$11, 100%, $F$11)</f>
        <v>20.1388</v>
      </c>
      <c r="C590" s="8">
        <f>20.1442 * CHOOSE(CONTROL!$C$15, $D$11, 100%, $F$11)</f>
        <v>20.144200000000001</v>
      </c>
      <c r="D590" s="8">
        <f>20.1754 * CHOOSE( CONTROL!$C$15, $D$11, 100%, $F$11)</f>
        <v>20.1754</v>
      </c>
      <c r="E590" s="12">
        <f>20.1645 * CHOOSE( CONTROL!$C$15, $D$11, 100%, $F$11)</f>
        <v>20.1645</v>
      </c>
      <c r="F590" s="4">
        <f>20.8529 * CHOOSE(CONTROL!$C$15, $D$11, 100%, $F$11)</f>
        <v>20.852900000000002</v>
      </c>
      <c r="G590" s="8">
        <f>19.6567 * CHOOSE( CONTROL!$C$15, $D$11, 100%, $F$11)</f>
        <v>19.656700000000001</v>
      </c>
      <c r="H590" s="4">
        <f>20.6019 * CHOOSE(CONTROL!$C$15, $D$11, 100%, $F$11)</f>
        <v>20.601900000000001</v>
      </c>
      <c r="I590" s="8">
        <f>19.4323 * CHOOSE(CONTROL!$C$15, $D$11, 100%, $F$11)</f>
        <v>19.432300000000001</v>
      </c>
      <c r="J590" s="4">
        <f>19.3077 * CHOOSE(CONTROL!$C$15, $D$11, 100%, $F$11)</f>
        <v>19.307700000000001</v>
      </c>
      <c r="K590" s="4"/>
      <c r="L590" s="9">
        <v>31.095300000000002</v>
      </c>
      <c r="M590" s="9">
        <v>12.063700000000001</v>
      </c>
      <c r="N590" s="9">
        <v>4.9444999999999997</v>
      </c>
      <c r="O590" s="9">
        <v>0.37409999999999999</v>
      </c>
      <c r="P590" s="9">
        <v>1.2183999999999999</v>
      </c>
      <c r="Q590" s="9">
        <v>19.688099999999999</v>
      </c>
      <c r="R590" s="9"/>
      <c r="S590" s="11"/>
    </row>
    <row r="591" spans="1:19" ht="15.75">
      <c r="A591" s="13">
        <v>59505</v>
      </c>
      <c r="B591" s="8">
        <f>21.7172 * CHOOSE(CONTROL!$C$15, $D$11, 100%, $F$11)</f>
        <v>21.717199999999998</v>
      </c>
      <c r="C591" s="8">
        <f>21.7224 * CHOOSE(CONTROL!$C$15, $D$11, 100%, $F$11)</f>
        <v>21.7224</v>
      </c>
      <c r="D591" s="8">
        <f>21.7086 * CHOOSE( CONTROL!$C$15, $D$11, 100%, $F$11)</f>
        <v>21.708600000000001</v>
      </c>
      <c r="E591" s="12">
        <f>21.7131 * CHOOSE( CONTROL!$C$15, $D$11, 100%, $F$11)</f>
        <v>21.713100000000001</v>
      </c>
      <c r="F591" s="4">
        <f>22.3677 * CHOOSE(CONTROL!$C$15, $D$11, 100%, $F$11)</f>
        <v>22.367699999999999</v>
      </c>
      <c r="G591" s="8">
        <f>21.2063 * CHOOSE( CONTROL!$C$15, $D$11, 100%, $F$11)</f>
        <v>21.206299999999999</v>
      </c>
      <c r="H591" s="4">
        <f>22.0813 * CHOOSE(CONTROL!$C$15, $D$11, 100%, $F$11)</f>
        <v>22.081299999999999</v>
      </c>
      <c r="I591" s="8">
        <f>20.9925 * CHOOSE(CONTROL!$C$15, $D$11, 100%, $F$11)</f>
        <v>20.9925</v>
      </c>
      <c r="J591" s="4">
        <f>20.8235 * CHOOSE(CONTROL!$C$15, $D$11, 100%, $F$11)</f>
        <v>20.823499999999999</v>
      </c>
      <c r="K591" s="4"/>
      <c r="L591" s="9">
        <v>28.360600000000002</v>
      </c>
      <c r="M591" s="9">
        <v>11.6745</v>
      </c>
      <c r="N591" s="9">
        <v>4.7850000000000001</v>
      </c>
      <c r="O591" s="9">
        <v>0.36199999999999999</v>
      </c>
      <c r="P591" s="9">
        <v>1.2509999999999999</v>
      </c>
      <c r="Q591" s="9">
        <v>19.053000000000001</v>
      </c>
      <c r="R591" s="9"/>
      <c r="S591" s="11"/>
    </row>
    <row r="592" spans="1:19" ht="15.75">
      <c r="A592" s="13">
        <v>59536</v>
      </c>
      <c r="B592" s="8">
        <f>21.6777 * CHOOSE(CONTROL!$C$15, $D$11, 100%, $F$11)</f>
        <v>21.677700000000002</v>
      </c>
      <c r="C592" s="8">
        <f>21.6829 * CHOOSE(CONTROL!$C$15, $D$11, 100%, $F$11)</f>
        <v>21.6829</v>
      </c>
      <c r="D592" s="8">
        <f>21.6706 * CHOOSE( CONTROL!$C$15, $D$11, 100%, $F$11)</f>
        <v>21.6706</v>
      </c>
      <c r="E592" s="12">
        <f>21.6745 * CHOOSE( CONTROL!$C$15, $D$11, 100%, $F$11)</f>
        <v>21.674499999999998</v>
      </c>
      <c r="F592" s="4">
        <f>22.3282 * CHOOSE(CONTROL!$C$15, $D$11, 100%, $F$11)</f>
        <v>22.328199999999999</v>
      </c>
      <c r="G592" s="8">
        <f>21.1689 * CHOOSE( CONTROL!$C$15, $D$11, 100%, $F$11)</f>
        <v>21.168900000000001</v>
      </c>
      <c r="H592" s="4">
        <f>22.0428 * CHOOSE(CONTROL!$C$15, $D$11, 100%, $F$11)</f>
        <v>22.0428</v>
      </c>
      <c r="I592" s="8">
        <f>20.9593 * CHOOSE(CONTROL!$C$15, $D$11, 100%, $F$11)</f>
        <v>20.959299999999999</v>
      </c>
      <c r="J592" s="4">
        <f>20.7856 * CHOOSE(CONTROL!$C$15, $D$11, 100%, $F$11)</f>
        <v>20.785599999999999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59567</v>
      </c>
      <c r="B593" s="8">
        <f>22.5052 * CHOOSE(CONTROL!$C$15, $D$11, 100%, $F$11)</f>
        <v>22.505199999999999</v>
      </c>
      <c r="C593" s="8">
        <f>22.5104 * CHOOSE(CONTROL!$C$15, $D$11, 100%, $F$11)</f>
        <v>22.510400000000001</v>
      </c>
      <c r="D593" s="8">
        <f>22.4928 * CHOOSE( CONTROL!$C$15, $D$11, 100%, $F$11)</f>
        <v>22.492799999999999</v>
      </c>
      <c r="E593" s="12">
        <f>22.4987 * CHOOSE( CONTROL!$C$15, $D$11, 100%, $F$11)</f>
        <v>22.498699999999999</v>
      </c>
      <c r="F593" s="4">
        <f>23.1556 * CHOOSE(CONTROL!$C$15, $D$11, 100%, $F$11)</f>
        <v>23.1556</v>
      </c>
      <c r="G593" s="8">
        <f>21.967 * CHOOSE( CONTROL!$C$15, $D$11, 100%, $F$11)</f>
        <v>21.966999999999999</v>
      </c>
      <c r="H593" s="4">
        <f>22.851 * CHOOSE(CONTROL!$C$15, $D$11, 100%, $F$11)</f>
        <v>22.850999999999999</v>
      </c>
      <c r="I593" s="8">
        <f>21.714 * CHOOSE(CONTROL!$C$15, $D$11, 100%, $F$11)</f>
        <v>21.713999999999999</v>
      </c>
      <c r="J593" s="4">
        <f>21.58 * CHOOSE(CONTROL!$C$15, $D$11, 100%, $F$11)</f>
        <v>21.58</v>
      </c>
      <c r="K593" s="4"/>
      <c r="L593" s="9">
        <v>29.306000000000001</v>
      </c>
      <c r="M593" s="9">
        <v>12.063700000000001</v>
      </c>
      <c r="N593" s="9">
        <v>4.9444999999999997</v>
      </c>
      <c r="O593" s="9">
        <v>0.37409999999999999</v>
      </c>
      <c r="P593" s="9">
        <v>1.2927</v>
      </c>
      <c r="Q593" s="9">
        <v>19.688099999999999</v>
      </c>
      <c r="R593" s="9"/>
      <c r="S593" s="11"/>
    </row>
    <row r="594" spans="1:19" ht="15.75">
      <c r="A594" s="13">
        <v>59595</v>
      </c>
      <c r="B594" s="8">
        <f>21.0521 * CHOOSE(CONTROL!$C$15, $D$11, 100%, $F$11)</f>
        <v>21.052099999999999</v>
      </c>
      <c r="C594" s="8">
        <f>21.0573 * CHOOSE(CONTROL!$C$15, $D$11, 100%, $F$11)</f>
        <v>21.057300000000001</v>
      </c>
      <c r="D594" s="8">
        <f>21.0396 * CHOOSE( CONTROL!$C$15, $D$11, 100%, $F$11)</f>
        <v>21.0396</v>
      </c>
      <c r="E594" s="12">
        <f>21.0455 * CHOOSE( CONTROL!$C$15, $D$11, 100%, $F$11)</f>
        <v>21.045500000000001</v>
      </c>
      <c r="F594" s="4">
        <f>21.7025 * CHOOSE(CONTROL!$C$15, $D$11, 100%, $F$11)</f>
        <v>21.702500000000001</v>
      </c>
      <c r="G594" s="8">
        <f>20.5477 * CHOOSE( CONTROL!$C$15, $D$11, 100%, $F$11)</f>
        <v>20.547699999999999</v>
      </c>
      <c r="H594" s="4">
        <f>21.4317 * CHOOSE(CONTROL!$C$15, $D$11, 100%, $F$11)</f>
        <v>21.431699999999999</v>
      </c>
      <c r="I594" s="8">
        <f>20.318 * CHOOSE(CONTROL!$C$15, $D$11, 100%, $F$11)</f>
        <v>20.318000000000001</v>
      </c>
      <c r="J594" s="4">
        <f>20.1849 * CHOOSE(CONTROL!$C$15, $D$11, 100%, $F$11)</f>
        <v>20.184899999999999</v>
      </c>
      <c r="K594" s="4"/>
      <c r="L594" s="9">
        <v>26.469899999999999</v>
      </c>
      <c r="M594" s="9">
        <v>10.8962</v>
      </c>
      <c r="N594" s="9">
        <v>4.4660000000000002</v>
      </c>
      <c r="O594" s="9">
        <v>0.33789999999999998</v>
      </c>
      <c r="P594" s="9">
        <v>1.1676</v>
      </c>
      <c r="Q594" s="9">
        <v>17.782800000000002</v>
      </c>
      <c r="R594" s="9"/>
      <c r="S594" s="11"/>
    </row>
    <row r="595" spans="1:19" ht="15.75">
      <c r="A595" s="13">
        <v>59626</v>
      </c>
      <c r="B595" s="8">
        <f>20.6045 * CHOOSE(CONTROL!$C$15, $D$11, 100%, $F$11)</f>
        <v>20.604500000000002</v>
      </c>
      <c r="C595" s="8">
        <f>20.6097 * CHOOSE(CONTROL!$C$15, $D$11, 100%, $F$11)</f>
        <v>20.6097</v>
      </c>
      <c r="D595" s="8">
        <f>20.5917 * CHOOSE( CONTROL!$C$15, $D$11, 100%, $F$11)</f>
        <v>20.591699999999999</v>
      </c>
      <c r="E595" s="12">
        <f>20.5977 * CHOOSE( CONTROL!$C$15, $D$11, 100%, $F$11)</f>
        <v>20.5977</v>
      </c>
      <c r="F595" s="4">
        <f>21.255 * CHOOSE(CONTROL!$C$15, $D$11, 100%, $F$11)</f>
        <v>21.254999999999999</v>
      </c>
      <c r="G595" s="8">
        <f>20.1103 * CHOOSE( CONTROL!$C$15, $D$11, 100%, $F$11)</f>
        <v>20.110299999999999</v>
      </c>
      <c r="H595" s="4">
        <f>20.9946 * CHOOSE(CONTROL!$C$15, $D$11, 100%, $F$11)</f>
        <v>20.994599999999998</v>
      </c>
      <c r="I595" s="8">
        <f>19.8869 * CHOOSE(CONTROL!$C$15, $D$11, 100%, $F$11)</f>
        <v>19.886900000000001</v>
      </c>
      <c r="J595" s="4">
        <f>19.7552 * CHOOSE(CONTROL!$C$15, $D$11, 100%, $F$11)</f>
        <v>19.755199999999999</v>
      </c>
      <c r="K595" s="4"/>
      <c r="L595" s="9">
        <v>29.306000000000001</v>
      </c>
      <c r="M595" s="9">
        <v>12.063700000000001</v>
      </c>
      <c r="N595" s="9">
        <v>4.9444999999999997</v>
      </c>
      <c r="O595" s="9">
        <v>0.37409999999999999</v>
      </c>
      <c r="P595" s="9">
        <v>1.2927</v>
      </c>
      <c r="Q595" s="9">
        <v>19.688099999999999</v>
      </c>
      <c r="R595" s="9"/>
      <c r="S595" s="11"/>
    </row>
    <row r="596" spans="1:19" ht="15.75">
      <c r="A596" s="13">
        <v>59656</v>
      </c>
      <c r="B596" s="8">
        <f>20.918 * CHOOSE(CONTROL!$C$15, $D$11, 100%, $F$11)</f>
        <v>20.917999999999999</v>
      </c>
      <c r="C596" s="8">
        <f>20.9227 * CHOOSE(CONTROL!$C$15, $D$11, 100%, $F$11)</f>
        <v>20.922699999999999</v>
      </c>
      <c r="D596" s="8">
        <f>20.9538 * CHOOSE( CONTROL!$C$15, $D$11, 100%, $F$11)</f>
        <v>20.953800000000001</v>
      </c>
      <c r="E596" s="12">
        <f>20.943 * CHOOSE( CONTROL!$C$15, $D$11, 100%, $F$11)</f>
        <v>20.943000000000001</v>
      </c>
      <c r="F596" s="4">
        <f>21.6318 * CHOOSE(CONTROL!$C$15, $D$11, 100%, $F$11)</f>
        <v>21.631799999999998</v>
      </c>
      <c r="G596" s="8">
        <f>20.4166 * CHOOSE( CONTROL!$C$15, $D$11, 100%, $F$11)</f>
        <v>20.416599999999999</v>
      </c>
      <c r="H596" s="4">
        <f>21.3626 * CHOOSE(CONTROL!$C$15, $D$11, 100%, $F$11)</f>
        <v>21.3626</v>
      </c>
      <c r="I596" s="8">
        <f>20.1778 * CHOOSE(CONTROL!$C$15, $D$11, 100%, $F$11)</f>
        <v>20.177800000000001</v>
      </c>
      <c r="J596" s="4">
        <f>20.0555 * CHOOSE(CONTROL!$C$15, $D$11, 100%, $F$11)</f>
        <v>20.055499999999999</v>
      </c>
      <c r="K596" s="4"/>
      <c r="L596" s="9">
        <v>30.092199999999998</v>
      </c>
      <c r="M596" s="9">
        <v>11.6745</v>
      </c>
      <c r="N596" s="9">
        <v>4.7850000000000001</v>
      </c>
      <c r="O596" s="9">
        <v>0.36199999999999999</v>
      </c>
      <c r="P596" s="9">
        <v>1.1791</v>
      </c>
      <c r="Q596" s="9">
        <v>19.053000000000001</v>
      </c>
      <c r="R596" s="9"/>
      <c r="S596" s="11"/>
    </row>
    <row r="597" spans="1:19" ht="15.75">
      <c r="A597" s="13">
        <v>59687</v>
      </c>
      <c r="B597" s="8">
        <f>CHOOSE( CONTROL!$C$32, 21.4816, 21.476) * CHOOSE(CONTROL!$C$15, $D$11, 100%, $F$11)</f>
        <v>21.4816</v>
      </c>
      <c r="C597" s="8">
        <f>CHOOSE( CONTROL!$C$32, 21.4897, 21.4841) * CHOOSE(CONTROL!$C$15, $D$11, 100%, $F$11)</f>
        <v>21.489699999999999</v>
      </c>
      <c r="D597" s="8">
        <f>CHOOSE( CONTROL!$C$32, 21.5156, 21.5101) * CHOOSE( CONTROL!$C$15, $D$11, 100%, $F$11)</f>
        <v>21.515599999999999</v>
      </c>
      <c r="E597" s="12">
        <f>CHOOSE( CONTROL!$C$32, 21.505, 21.4994) * CHOOSE( CONTROL!$C$15, $D$11, 100%, $F$11)</f>
        <v>21.504999999999999</v>
      </c>
      <c r="F597" s="4">
        <f>CHOOSE( CONTROL!$C$32, 22.194, 22.1884) * CHOOSE(CONTROL!$C$15, $D$11, 100%, $F$11)</f>
        <v>22.193999999999999</v>
      </c>
      <c r="G597" s="8">
        <f>CHOOSE( CONTROL!$C$32, 20.9668, 20.9614) * CHOOSE( CONTROL!$C$15, $D$11, 100%, $F$11)</f>
        <v>20.966799999999999</v>
      </c>
      <c r="H597" s="4">
        <f>CHOOSE( CONTROL!$C$32, 21.9117, 21.9062) * CHOOSE(CONTROL!$C$15, $D$11, 100%, $F$11)</f>
        <v>21.9117</v>
      </c>
      <c r="I597" s="8">
        <f>CHOOSE( CONTROL!$C$32, 20.7178, 20.7124) * CHOOSE(CONTROL!$C$15, $D$11, 100%, $F$11)</f>
        <v>20.7178</v>
      </c>
      <c r="J597" s="4">
        <f>CHOOSE( CONTROL!$C$32, 20.5952, 20.5899) * CHOOSE(CONTROL!$C$15, $D$11, 100%, $F$11)</f>
        <v>20.595199999999998</v>
      </c>
      <c r="K597" s="4"/>
      <c r="L597" s="9">
        <v>30.7165</v>
      </c>
      <c r="M597" s="9">
        <v>12.063700000000001</v>
      </c>
      <c r="N597" s="9">
        <v>4.9444999999999997</v>
      </c>
      <c r="O597" s="9">
        <v>0.37409999999999999</v>
      </c>
      <c r="P597" s="9">
        <v>1.2183999999999999</v>
      </c>
      <c r="Q597" s="9">
        <v>19.688099999999999</v>
      </c>
      <c r="R597" s="9"/>
      <c r="S597" s="11"/>
    </row>
    <row r="598" spans="1:19" ht="15.75">
      <c r="A598" s="13">
        <v>59717</v>
      </c>
      <c r="B598" s="8">
        <f>CHOOSE( CONTROL!$C$32, 21.1368, 21.1312) * CHOOSE(CONTROL!$C$15, $D$11, 100%, $F$11)</f>
        <v>21.136800000000001</v>
      </c>
      <c r="C598" s="8">
        <f>CHOOSE( CONTROL!$C$32, 21.1449, 21.1393) * CHOOSE(CONTROL!$C$15, $D$11, 100%, $F$11)</f>
        <v>21.1449</v>
      </c>
      <c r="D598" s="8">
        <f>CHOOSE( CONTROL!$C$32, 21.171, 21.1654) * CHOOSE( CONTROL!$C$15, $D$11, 100%, $F$11)</f>
        <v>21.170999999999999</v>
      </c>
      <c r="E598" s="12">
        <f>CHOOSE( CONTROL!$C$32, 21.1603, 21.1547) * CHOOSE( CONTROL!$C$15, $D$11, 100%, $F$11)</f>
        <v>21.160299999999999</v>
      </c>
      <c r="F598" s="4">
        <f>CHOOSE( CONTROL!$C$32, 21.8492, 21.8436) * CHOOSE(CONTROL!$C$15, $D$11, 100%, $F$11)</f>
        <v>21.8492</v>
      </c>
      <c r="G598" s="8">
        <f>CHOOSE( CONTROL!$C$32, 20.6303, 20.6249) * CHOOSE( CONTROL!$C$15, $D$11, 100%, $F$11)</f>
        <v>20.630299999999998</v>
      </c>
      <c r="H598" s="4">
        <f>CHOOSE( CONTROL!$C$32, 21.5749, 21.5695) * CHOOSE(CONTROL!$C$15, $D$11, 100%, $F$11)</f>
        <v>21.5749</v>
      </c>
      <c r="I598" s="8">
        <f>CHOOSE( CONTROL!$C$32, 20.3874, 20.3821) * CHOOSE(CONTROL!$C$15, $D$11, 100%, $F$11)</f>
        <v>20.3874</v>
      </c>
      <c r="J598" s="4">
        <f>CHOOSE( CONTROL!$C$32, 20.2642, 20.2588) * CHOOSE(CONTROL!$C$15, $D$11, 100%, $F$11)</f>
        <v>20.264199999999999</v>
      </c>
      <c r="K598" s="4"/>
      <c r="L598" s="9">
        <v>29.7257</v>
      </c>
      <c r="M598" s="9">
        <v>11.6745</v>
      </c>
      <c r="N598" s="9">
        <v>4.7850000000000001</v>
      </c>
      <c r="O598" s="9">
        <v>0.36199999999999999</v>
      </c>
      <c r="P598" s="9">
        <v>1.1791</v>
      </c>
      <c r="Q598" s="9">
        <v>19.053000000000001</v>
      </c>
      <c r="R598" s="9"/>
      <c r="S598" s="11"/>
    </row>
    <row r="599" spans="1:19" ht="15.75">
      <c r="A599" s="13">
        <v>59748</v>
      </c>
      <c r="B599" s="8">
        <f>CHOOSE( CONTROL!$C$32, 22.0447, 22.0392) * CHOOSE(CONTROL!$C$15, $D$11, 100%, $F$11)</f>
        <v>22.044699999999999</v>
      </c>
      <c r="C599" s="8">
        <f>CHOOSE( CONTROL!$C$32, 22.0528, 22.0473) * CHOOSE(CONTROL!$C$15, $D$11, 100%, $F$11)</f>
        <v>22.052800000000001</v>
      </c>
      <c r="D599" s="8">
        <f>CHOOSE( CONTROL!$C$32, 22.0792, 22.0736) * CHOOSE( CONTROL!$C$15, $D$11, 100%, $F$11)</f>
        <v>22.0792</v>
      </c>
      <c r="E599" s="12">
        <f>CHOOSE( CONTROL!$C$32, 22.0684, 22.0628) * CHOOSE( CONTROL!$C$15, $D$11, 100%, $F$11)</f>
        <v>22.0684</v>
      </c>
      <c r="F599" s="4">
        <f>CHOOSE( CONTROL!$C$32, 22.7571, 22.7516) * CHOOSE(CONTROL!$C$15, $D$11, 100%, $F$11)</f>
        <v>22.757100000000001</v>
      </c>
      <c r="G599" s="8">
        <f>CHOOSE( CONTROL!$C$32, 21.5174, 21.512) * CHOOSE( CONTROL!$C$15, $D$11, 100%, $F$11)</f>
        <v>21.517399999999999</v>
      </c>
      <c r="H599" s="4">
        <f>CHOOSE( CONTROL!$C$32, 22.4617, 22.4563) * CHOOSE(CONTROL!$C$15, $D$11, 100%, $F$11)</f>
        <v>22.4617</v>
      </c>
      <c r="I599" s="8">
        <f>CHOOSE( CONTROL!$C$32, 21.2605, 21.2552) * CHOOSE(CONTROL!$C$15, $D$11, 100%, $F$11)</f>
        <v>21.2605</v>
      </c>
      <c r="J599" s="4">
        <f>CHOOSE( CONTROL!$C$32, 21.1359, 21.1306) * CHOOSE(CONTROL!$C$15, $D$11, 100%, $F$11)</f>
        <v>21.135899999999999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1.2183999999999999</v>
      </c>
      <c r="Q599" s="9">
        <v>19.688099999999999</v>
      </c>
      <c r="R599" s="9"/>
      <c r="S599" s="11"/>
    </row>
    <row r="600" spans="1:19" ht="15.75">
      <c r="A600" s="13">
        <v>59779</v>
      </c>
      <c r="B600" s="8">
        <f>CHOOSE( CONTROL!$C$32, 20.3458, 20.3403) * CHOOSE(CONTROL!$C$15, $D$11, 100%, $F$11)</f>
        <v>20.345800000000001</v>
      </c>
      <c r="C600" s="8">
        <f>CHOOSE( CONTROL!$C$32, 20.3539, 20.3483) * CHOOSE(CONTROL!$C$15, $D$11, 100%, $F$11)</f>
        <v>20.353899999999999</v>
      </c>
      <c r="D600" s="8">
        <f>CHOOSE( CONTROL!$C$32, 20.3803, 20.3747) * CHOOSE( CONTROL!$C$15, $D$11, 100%, $F$11)</f>
        <v>20.380299999999998</v>
      </c>
      <c r="E600" s="12">
        <f>CHOOSE( CONTROL!$C$32, 20.3695, 20.3639) * CHOOSE( CONTROL!$C$15, $D$11, 100%, $F$11)</f>
        <v>20.369499999999999</v>
      </c>
      <c r="F600" s="4">
        <f>CHOOSE( CONTROL!$C$32, 21.0582, 21.0527) * CHOOSE(CONTROL!$C$15, $D$11, 100%, $F$11)</f>
        <v>21.058199999999999</v>
      </c>
      <c r="G600" s="8">
        <f>CHOOSE( CONTROL!$C$32, 19.8582, 19.8527) * CHOOSE( CONTROL!$C$15, $D$11, 100%, $F$11)</f>
        <v>19.8582</v>
      </c>
      <c r="H600" s="4">
        <f>CHOOSE( CONTROL!$C$32, 20.8024, 20.797) * CHOOSE(CONTROL!$C$15, $D$11, 100%, $F$11)</f>
        <v>20.802399999999999</v>
      </c>
      <c r="I600" s="8">
        <f>CHOOSE( CONTROL!$C$32, 19.6289, 19.6235) * CHOOSE(CONTROL!$C$15, $D$11, 100%, $F$11)</f>
        <v>19.628900000000002</v>
      </c>
      <c r="J600" s="4">
        <f>CHOOSE( CONTROL!$C$32, 19.5048, 19.4995) * CHOOSE(CONTROL!$C$15, $D$11, 100%, $F$11)</f>
        <v>19.504799999999999</v>
      </c>
      <c r="K600" s="4"/>
      <c r="L600" s="9">
        <v>30.7165</v>
      </c>
      <c r="M600" s="9">
        <v>12.063700000000001</v>
      </c>
      <c r="N600" s="9">
        <v>4.9444999999999997</v>
      </c>
      <c r="O600" s="9">
        <v>0.37409999999999999</v>
      </c>
      <c r="P600" s="9">
        <v>1.2183999999999999</v>
      </c>
      <c r="Q600" s="9">
        <v>19.688099999999999</v>
      </c>
      <c r="R600" s="9"/>
      <c r="S600" s="11"/>
    </row>
    <row r="601" spans="1:19" ht="15.75">
      <c r="A601" s="13">
        <v>59809</v>
      </c>
      <c r="B601" s="8">
        <f>CHOOSE( CONTROL!$C$32, 19.9204, 19.9148) * CHOOSE(CONTROL!$C$15, $D$11, 100%, $F$11)</f>
        <v>19.920400000000001</v>
      </c>
      <c r="C601" s="8">
        <f>CHOOSE( CONTROL!$C$32, 19.9285, 19.9229) * CHOOSE(CONTROL!$C$15, $D$11, 100%, $F$11)</f>
        <v>19.9285</v>
      </c>
      <c r="D601" s="8">
        <f>CHOOSE( CONTROL!$C$32, 19.9548, 19.9493) * CHOOSE( CONTROL!$C$15, $D$11, 100%, $F$11)</f>
        <v>19.954799999999999</v>
      </c>
      <c r="E601" s="12">
        <f>CHOOSE( CONTROL!$C$32, 19.944, 19.9385) * CHOOSE( CONTROL!$C$15, $D$11, 100%, $F$11)</f>
        <v>19.943999999999999</v>
      </c>
      <c r="F601" s="4">
        <f>CHOOSE( CONTROL!$C$32, 20.6328, 20.6272) * CHOOSE(CONTROL!$C$15, $D$11, 100%, $F$11)</f>
        <v>20.6328</v>
      </c>
      <c r="G601" s="8">
        <f>CHOOSE( CONTROL!$C$32, 19.4426, 19.4372) * CHOOSE( CONTROL!$C$15, $D$11, 100%, $F$11)</f>
        <v>19.442599999999999</v>
      </c>
      <c r="H601" s="4">
        <f>CHOOSE( CONTROL!$C$32, 20.3869, 20.3815) * CHOOSE(CONTROL!$C$15, $D$11, 100%, $F$11)</f>
        <v>20.386900000000001</v>
      </c>
      <c r="I601" s="8">
        <f>CHOOSE( CONTROL!$C$32, 19.22, 19.2146) * CHOOSE(CONTROL!$C$15, $D$11, 100%, $F$11)</f>
        <v>19.22</v>
      </c>
      <c r="J601" s="4">
        <f>CHOOSE( CONTROL!$C$32, 19.0964, 19.091) * CHOOSE(CONTROL!$C$15, $D$11, 100%, $F$11)</f>
        <v>19.096399999999999</v>
      </c>
      <c r="K601" s="4"/>
      <c r="L601" s="9">
        <v>29.7257</v>
      </c>
      <c r="M601" s="9">
        <v>11.6745</v>
      </c>
      <c r="N601" s="9">
        <v>4.7850000000000001</v>
      </c>
      <c r="O601" s="9">
        <v>0.36199999999999999</v>
      </c>
      <c r="P601" s="9">
        <v>1.1791</v>
      </c>
      <c r="Q601" s="9">
        <v>19.053000000000001</v>
      </c>
      <c r="R601" s="9"/>
      <c r="S601" s="11"/>
    </row>
    <row r="602" spans="1:19" ht="15.75">
      <c r="A602" s="13">
        <v>59840</v>
      </c>
      <c r="B602" s="8">
        <f>20.7964 * CHOOSE(CONTROL!$C$15, $D$11, 100%, $F$11)</f>
        <v>20.796399999999998</v>
      </c>
      <c r="C602" s="8">
        <f>20.8019 * CHOOSE(CONTROL!$C$15, $D$11, 100%, $F$11)</f>
        <v>20.8019</v>
      </c>
      <c r="D602" s="8">
        <f>20.8331 * CHOOSE( CONTROL!$C$15, $D$11, 100%, $F$11)</f>
        <v>20.833100000000002</v>
      </c>
      <c r="E602" s="12">
        <f>20.8222 * CHOOSE( CONTROL!$C$15, $D$11, 100%, $F$11)</f>
        <v>20.822199999999999</v>
      </c>
      <c r="F602" s="4">
        <f>21.5106 * CHOOSE(CONTROL!$C$15, $D$11, 100%, $F$11)</f>
        <v>21.5106</v>
      </c>
      <c r="G602" s="8">
        <f>20.2991 * CHOOSE( CONTROL!$C$15, $D$11, 100%, $F$11)</f>
        <v>20.299099999999999</v>
      </c>
      <c r="H602" s="4">
        <f>21.2442 * CHOOSE(CONTROL!$C$15, $D$11, 100%, $F$11)</f>
        <v>21.244199999999999</v>
      </c>
      <c r="I602" s="8">
        <f>20.064 * CHOOSE(CONTROL!$C$15, $D$11, 100%, $F$11)</f>
        <v>20.064</v>
      </c>
      <c r="J602" s="4">
        <f>19.9391 * CHOOSE(CONTROL!$C$15, $D$11, 100%, $F$11)</f>
        <v>19.9391</v>
      </c>
      <c r="K602" s="4"/>
      <c r="L602" s="9">
        <v>31.095300000000002</v>
      </c>
      <c r="M602" s="9">
        <v>12.063700000000001</v>
      </c>
      <c r="N602" s="9">
        <v>4.9444999999999997</v>
      </c>
      <c r="O602" s="9">
        <v>0.37409999999999999</v>
      </c>
      <c r="P602" s="9">
        <v>1.2183999999999999</v>
      </c>
      <c r="Q602" s="9">
        <v>19.688099999999999</v>
      </c>
      <c r="R602" s="9"/>
      <c r="S602" s="11"/>
    </row>
    <row r="603" spans="1:19" ht="15.75">
      <c r="A603" s="13">
        <v>59870</v>
      </c>
      <c r="B603" s="8">
        <f>22.4265 * CHOOSE(CONTROL!$C$15, $D$11, 100%, $F$11)</f>
        <v>22.426500000000001</v>
      </c>
      <c r="C603" s="8">
        <f>22.4317 * CHOOSE(CONTROL!$C$15, $D$11, 100%, $F$11)</f>
        <v>22.431699999999999</v>
      </c>
      <c r="D603" s="8">
        <f>22.4179 * CHOOSE( CONTROL!$C$15, $D$11, 100%, $F$11)</f>
        <v>22.417899999999999</v>
      </c>
      <c r="E603" s="12">
        <f>22.4224 * CHOOSE( CONTROL!$C$15, $D$11, 100%, $F$11)</f>
        <v>22.4224</v>
      </c>
      <c r="F603" s="4">
        <f>23.077 * CHOOSE(CONTROL!$C$15, $D$11, 100%, $F$11)</f>
        <v>23.077000000000002</v>
      </c>
      <c r="G603" s="8">
        <f>21.8991 * CHOOSE( CONTROL!$C$15, $D$11, 100%, $F$11)</f>
        <v>21.899100000000001</v>
      </c>
      <c r="H603" s="4">
        <f>22.7741 * CHOOSE(CONTROL!$C$15, $D$11, 100%, $F$11)</f>
        <v>22.774100000000001</v>
      </c>
      <c r="I603" s="8">
        <f>21.6738 * CHOOSE(CONTROL!$C$15, $D$11, 100%, $F$11)</f>
        <v>21.6738</v>
      </c>
      <c r="J603" s="4">
        <f>21.5045 * CHOOSE(CONTROL!$C$15, $D$11, 100%, $F$11)</f>
        <v>21.5045</v>
      </c>
      <c r="K603" s="4"/>
      <c r="L603" s="9">
        <v>28.360600000000002</v>
      </c>
      <c r="M603" s="9">
        <v>11.6745</v>
      </c>
      <c r="N603" s="9">
        <v>4.7850000000000001</v>
      </c>
      <c r="O603" s="9">
        <v>0.36199999999999999</v>
      </c>
      <c r="P603" s="9">
        <v>1.2509999999999999</v>
      </c>
      <c r="Q603" s="9">
        <v>19.053000000000001</v>
      </c>
      <c r="R603" s="9"/>
      <c r="S603" s="11"/>
    </row>
    <row r="604" spans="1:19" ht="15.75">
      <c r="A604" s="13">
        <v>59901</v>
      </c>
      <c r="B604" s="8">
        <f>22.3858 * CHOOSE(CONTROL!$C$15, $D$11, 100%, $F$11)</f>
        <v>22.3858</v>
      </c>
      <c r="C604" s="8">
        <f>22.3909 * CHOOSE(CONTROL!$C$15, $D$11, 100%, $F$11)</f>
        <v>22.390899999999998</v>
      </c>
      <c r="D604" s="8">
        <f>22.3787 * CHOOSE( CONTROL!$C$15, $D$11, 100%, $F$11)</f>
        <v>22.378699999999998</v>
      </c>
      <c r="E604" s="12">
        <f>22.3826 * CHOOSE( CONTROL!$C$15, $D$11, 100%, $F$11)</f>
        <v>22.3826</v>
      </c>
      <c r="F604" s="4">
        <f>23.0362 * CHOOSE(CONTROL!$C$15, $D$11, 100%, $F$11)</f>
        <v>23.036200000000001</v>
      </c>
      <c r="G604" s="8">
        <f>21.8604 * CHOOSE( CONTROL!$C$15, $D$11, 100%, $F$11)</f>
        <v>21.860399999999998</v>
      </c>
      <c r="H604" s="4">
        <f>22.7343 * CHOOSE(CONTROL!$C$15, $D$11, 100%, $F$11)</f>
        <v>22.734300000000001</v>
      </c>
      <c r="I604" s="8">
        <f>21.6395 * CHOOSE(CONTROL!$C$15, $D$11, 100%, $F$11)</f>
        <v>21.639500000000002</v>
      </c>
      <c r="J604" s="4">
        <f>21.4654 * CHOOSE(CONTROL!$C$15, $D$11, 100%, $F$11)</f>
        <v>21.465399999999999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59932</v>
      </c>
      <c r="B605" s="8">
        <f>23.2402 * CHOOSE(CONTROL!$C$15, $D$11, 100%, $F$11)</f>
        <v>23.240200000000002</v>
      </c>
      <c r="C605" s="8">
        <f>23.2454 * CHOOSE(CONTROL!$C$15, $D$11, 100%, $F$11)</f>
        <v>23.2454</v>
      </c>
      <c r="D605" s="8">
        <f>23.2279 * CHOOSE( CONTROL!$C$15, $D$11, 100%, $F$11)</f>
        <v>23.227900000000002</v>
      </c>
      <c r="E605" s="12">
        <f>23.2337 * CHOOSE( CONTROL!$C$15, $D$11, 100%, $F$11)</f>
        <v>23.233699999999999</v>
      </c>
      <c r="F605" s="4">
        <f>23.8907 * CHOOSE(CONTROL!$C$15, $D$11, 100%, $F$11)</f>
        <v>23.890699999999999</v>
      </c>
      <c r="G605" s="8">
        <f>22.685 * CHOOSE( CONTROL!$C$15, $D$11, 100%, $F$11)</f>
        <v>22.684999999999999</v>
      </c>
      <c r="H605" s="4">
        <f>23.5689 * CHOOSE(CONTROL!$C$15, $D$11, 100%, $F$11)</f>
        <v>23.568899999999999</v>
      </c>
      <c r="I605" s="8">
        <f>22.4201 * CHOOSE(CONTROL!$C$15, $D$11, 100%, $F$11)</f>
        <v>22.420100000000001</v>
      </c>
      <c r="J605" s="4">
        <f>22.2858 * CHOOSE(CONTROL!$C$15, $D$11, 100%, $F$11)</f>
        <v>22.285799999999998</v>
      </c>
      <c r="K605" s="4"/>
      <c r="L605" s="9">
        <v>29.306000000000001</v>
      </c>
      <c r="M605" s="9">
        <v>12.063700000000001</v>
      </c>
      <c r="N605" s="9">
        <v>4.9444999999999997</v>
      </c>
      <c r="O605" s="9">
        <v>0.37409999999999999</v>
      </c>
      <c r="P605" s="9">
        <v>1.2927</v>
      </c>
      <c r="Q605" s="9">
        <v>19.688099999999999</v>
      </c>
      <c r="R605" s="9"/>
      <c r="S605" s="11"/>
    </row>
    <row r="606" spans="1:19" ht="15.75">
      <c r="A606" s="13">
        <v>59961</v>
      </c>
      <c r="B606" s="8">
        <f>21.7396 * CHOOSE(CONTROL!$C$15, $D$11, 100%, $F$11)</f>
        <v>21.739599999999999</v>
      </c>
      <c r="C606" s="8">
        <f>21.7448 * CHOOSE(CONTROL!$C$15, $D$11, 100%, $F$11)</f>
        <v>21.744800000000001</v>
      </c>
      <c r="D606" s="8">
        <f>21.7272 * CHOOSE( CONTROL!$C$15, $D$11, 100%, $F$11)</f>
        <v>21.7272</v>
      </c>
      <c r="E606" s="12">
        <f>21.7331 * CHOOSE( CONTROL!$C$15, $D$11, 100%, $F$11)</f>
        <v>21.7331</v>
      </c>
      <c r="F606" s="4">
        <f>22.3901 * CHOOSE(CONTROL!$C$15, $D$11, 100%, $F$11)</f>
        <v>22.3901</v>
      </c>
      <c r="G606" s="8">
        <f>21.2193 * CHOOSE( CONTROL!$C$15, $D$11, 100%, $F$11)</f>
        <v>21.2193</v>
      </c>
      <c r="H606" s="4">
        <f>22.1033 * CHOOSE(CONTROL!$C$15, $D$11, 100%, $F$11)</f>
        <v>22.103300000000001</v>
      </c>
      <c r="I606" s="8">
        <f>20.9785 * CHOOSE(CONTROL!$C$15, $D$11, 100%, $F$11)</f>
        <v>20.9785</v>
      </c>
      <c r="J606" s="4">
        <f>20.845 * CHOOSE(CONTROL!$C$15, $D$11, 100%, $F$11)</f>
        <v>20.844999999999999</v>
      </c>
      <c r="K606" s="4"/>
      <c r="L606" s="9">
        <v>27.415299999999998</v>
      </c>
      <c r="M606" s="9">
        <v>11.285299999999999</v>
      </c>
      <c r="N606" s="9">
        <v>4.6254999999999997</v>
      </c>
      <c r="O606" s="9">
        <v>0.34989999999999999</v>
      </c>
      <c r="P606" s="9">
        <v>1.2093</v>
      </c>
      <c r="Q606" s="9">
        <v>18.417899999999999</v>
      </c>
      <c r="R606" s="9"/>
      <c r="S606" s="11"/>
    </row>
    <row r="607" spans="1:19" ht="15.75">
      <c r="A607" s="13">
        <v>59992</v>
      </c>
      <c r="B607" s="8">
        <f>21.2775 * CHOOSE(CONTROL!$C$15, $D$11, 100%, $F$11)</f>
        <v>21.2775</v>
      </c>
      <c r="C607" s="8">
        <f>21.2826 * CHOOSE(CONTROL!$C$15, $D$11, 100%, $F$11)</f>
        <v>21.282599999999999</v>
      </c>
      <c r="D607" s="8">
        <f>21.2646 * CHOOSE( CONTROL!$C$15, $D$11, 100%, $F$11)</f>
        <v>21.264600000000002</v>
      </c>
      <c r="E607" s="12">
        <f>21.2706 * CHOOSE( CONTROL!$C$15, $D$11, 100%, $F$11)</f>
        <v>21.270600000000002</v>
      </c>
      <c r="F607" s="4">
        <f>21.9279 * CHOOSE(CONTROL!$C$15, $D$11, 100%, $F$11)</f>
        <v>21.927900000000001</v>
      </c>
      <c r="G607" s="8">
        <f>20.7676 * CHOOSE( CONTROL!$C$15, $D$11, 100%, $F$11)</f>
        <v>20.767600000000002</v>
      </c>
      <c r="H607" s="4">
        <f>21.6518 * CHOOSE(CONTROL!$C$15, $D$11, 100%, $F$11)</f>
        <v>21.651800000000001</v>
      </c>
      <c r="I607" s="8">
        <f>20.5333 * CHOOSE(CONTROL!$C$15, $D$11, 100%, $F$11)</f>
        <v>20.533300000000001</v>
      </c>
      <c r="J607" s="4">
        <f>20.4013 * CHOOSE(CONTROL!$C$15, $D$11, 100%, $F$11)</f>
        <v>20.401299999999999</v>
      </c>
      <c r="K607" s="4"/>
      <c r="L607" s="9">
        <v>29.306000000000001</v>
      </c>
      <c r="M607" s="9">
        <v>12.063700000000001</v>
      </c>
      <c r="N607" s="9">
        <v>4.9444999999999997</v>
      </c>
      <c r="O607" s="9">
        <v>0.37409999999999999</v>
      </c>
      <c r="P607" s="9">
        <v>1.2927</v>
      </c>
      <c r="Q607" s="9">
        <v>19.688099999999999</v>
      </c>
      <c r="R607" s="9"/>
      <c r="S607" s="11"/>
    </row>
    <row r="608" spans="1:19" ht="15.75">
      <c r="A608" s="13">
        <v>60022</v>
      </c>
      <c r="B608" s="8">
        <f>21.6012 * CHOOSE(CONTROL!$C$15, $D$11, 100%, $F$11)</f>
        <v>21.601199999999999</v>
      </c>
      <c r="C608" s="8">
        <f>21.6058 * CHOOSE(CONTROL!$C$15, $D$11, 100%, $F$11)</f>
        <v>21.605799999999999</v>
      </c>
      <c r="D608" s="8">
        <f>21.6369 * CHOOSE( CONTROL!$C$15, $D$11, 100%, $F$11)</f>
        <v>21.636900000000001</v>
      </c>
      <c r="E608" s="12">
        <f>21.6261 * CHOOSE( CONTROL!$C$15, $D$11, 100%, $F$11)</f>
        <v>21.626100000000001</v>
      </c>
      <c r="F608" s="4">
        <f>22.3149 * CHOOSE(CONTROL!$C$15, $D$11, 100%, $F$11)</f>
        <v>22.314900000000002</v>
      </c>
      <c r="G608" s="8">
        <f>21.0839 * CHOOSE( CONTROL!$C$15, $D$11, 100%, $F$11)</f>
        <v>21.0839</v>
      </c>
      <c r="H608" s="4">
        <f>22.0298 * CHOOSE(CONTROL!$C$15, $D$11, 100%, $F$11)</f>
        <v>22.029800000000002</v>
      </c>
      <c r="I608" s="8">
        <f>20.8341 * CHOOSE(CONTROL!$C$15, $D$11, 100%, $F$11)</f>
        <v>20.834099999999999</v>
      </c>
      <c r="J608" s="4">
        <f>20.7114 * CHOOSE(CONTROL!$C$15, $D$11, 100%, $F$11)</f>
        <v>20.711400000000001</v>
      </c>
      <c r="K608" s="4"/>
      <c r="L608" s="9">
        <v>30.092199999999998</v>
      </c>
      <c r="M608" s="9">
        <v>11.6745</v>
      </c>
      <c r="N608" s="9">
        <v>4.7850000000000001</v>
      </c>
      <c r="O608" s="9">
        <v>0.36199999999999999</v>
      </c>
      <c r="P608" s="9">
        <v>1.1791</v>
      </c>
      <c r="Q608" s="9">
        <v>19.053000000000001</v>
      </c>
      <c r="R608" s="9"/>
      <c r="S608" s="11"/>
    </row>
    <row r="609" spans="1:19" ht="15.75">
      <c r="A609" s="13">
        <v>60053</v>
      </c>
      <c r="B609" s="8">
        <f>CHOOSE( CONTROL!$C$32, 22.1829, 22.1773) * CHOOSE(CONTROL!$C$15, $D$11, 100%, $F$11)</f>
        <v>22.1829</v>
      </c>
      <c r="C609" s="8">
        <f>CHOOSE( CONTROL!$C$32, 22.191, 22.1854) * CHOOSE(CONTROL!$C$15, $D$11, 100%, $F$11)</f>
        <v>22.190999999999999</v>
      </c>
      <c r="D609" s="8">
        <f>CHOOSE( CONTROL!$C$32, 22.217, 22.2114) * CHOOSE( CONTROL!$C$15, $D$11, 100%, $F$11)</f>
        <v>22.216999999999999</v>
      </c>
      <c r="E609" s="12">
        <f>CHOOSE( CONTROL!$C$32, 22.2063, 22.2007) * CHOOSE( CONTROL!$C$15, $D$11, 100%, $F$11)</f>
        <v>22.206299999999999</v>
      </c>
      <c r="F609" s="4">
        <f>CHOOSE( CONTROL!$C$32, 22.8953, 22.8897) * CHOOSE(CONTROL!$C$15, $D$11, 100%, $F$11)</f>
        <v>22.895299999999999</v>
      </c>
      <c r="G609" s="8">
        <f>CHOOSE( CONTROL!$C$32, 21.6518, 21.6464) * CHOOSE( CONTROL!$C$15, $D$11, 100%, $F$11)</f>
        <v>21.651800000000001</v>
      </c>
      <c r="H609" s="4">
        <f>CHOOSE( CONTROL!$C$32, 22.5967, 22.5913) * CHOOSE(CONTROL!$C$15, $D$11, 100%, $F$11)</f>
        <v>22.596699999999998</v>
      </c>
      <c r="I609" s="8">
        <f>CHOOSE( CONTROL!$C$32, 21.3915, 21.3862) * CHOOSE(CONTROL!$C$15, $D$11, 100%, $F$11)</f>
        <v>21.391500000000001</v>
      </c>
      <c r="J609" s="4">
        <f>CHOOSE( CONTROL!$C$32, 21.2686, 21.2632) * CHOOSE(CONTROL!$C$15, $D$11, 100%, $F$11)</f>
        <v>21.268599999999999</v>
      </c>
      <c r="K609" s="4"/>
      <c r="L609" s="9">
        <v>30.7165</v>
      </c>
      <c r="M609" s="9">
        <v>12.063700000000001</v>
      </c>
      <c r="N609" s="9">
        <v>4.9444999999999997</v>
      </c>
      <c r="O609" s="9">
        <v>0.37409999999999999</v>
      </c>
      <c r="P609" s="9">
        <v>1.2183999999999999</v>
      </c>
      <c r="Q609" s="9">
        <v>19.688099999999999</v>
      </c>
      <c r="R609" s="9"/>
      <c r="S609" s="11"/>
    </row>
    <row r="610" spans="1:19" ht="15.75">
      <c r="A610" s="13">
        <v>60083</v>
      </c>
      <c r="B610" s="8">
        <f>CHOOSE( CONTROL!$C$32, 21.8268, 21.8213) * CHOOSE(CONTROL!$C$15, $D$11, 100%, $F$11)</f>
        <v>21.826799999999999</v>
      </c>
      <c r="C610" s="8">
        <f>CHOOSE( CONTROL!$C$32, 21.8349, 21.8294) * CHOOSE(CONTROL!$C$15, $D$11, 100%, $F$11)</f>
        <v>21.834900000000001</v>
      </c>
      <c r="D610" s="8">
        <f>CHOOSE( CONTROL!$C$32, 21.8611, 21.8555) * CHOOSE( CONTROL!$C$15, $D$11, 100%, $F$11)</f>
        <v>21.8611</v>
      </c>
      <c r="E610" s="12">
        <f>CHOOSE( CONTROL!$C$32, 21.8504, 21.8448) * CHOOSE( CONTROL!$C$15, $D$11, 100%, $F$11)</f>
        <v>21.8504</v>
      </c>
      <c r="F610" s="4">
        <f>CHOOSE( CONTROL!$C$32, 22.5392, 22.5337) * CHOOSE(CONTROL!$C$15, $D$11, 100%, $F$11)</f>
        <v>22.539200000000001</v>
      </c>
      <c r="G610" s="8">
        <f>CHOOSE( CONTROL!$C$32, 21.3043, 21.2989) * CHOOSE( CONTROL!$C$15, $D$11, 100%, $F$11)</f>
        <v>21.304300000000001</v>
      </c>
      <c r="H610" s="4">
        <f>CHOOSE( CONTROL!$C$32, 22.2489, 22.2435) * CHOOSE(CONTROL!$C$15, $D$11, 100%, $F$11)</f>
        <v>22.248899999999999</v>
      </c>
      <c r="I610" s="8">
        <f>CHOOSE( CONTROL!$C$32, 21.0503, 21.0449) * CHOOSE(CONTROL!$C$15, $D$11, 100%, $F$11)</f>
        <v>21.0503</v>
      </c>
      <c r="J610" s="4">
        <f>CHOOSE( CONTROL!$C$32, 20.9267, 20.9214) * CHOOSE(CONTROL!$C$15, $D$11, 100%, $F$11)</f>
        <v>20.9267</v>
      </c>
      <c r="K610" s="4"/>
      <c r="L610" s="9">
        <v>29.7257</v>
      </c>
      <c r="M610" s="9">
        <v>11.6745</v>
      </c>
      <c r="N610" s="9">
        <v>4.7850000000000001</v>
      </c>
      <c r="O610" s="9">
        <v>0.36199999999999999</v>
      </c>
      <c r="P610" s="9">
        <v>1.1791</v>
      </c>
      <c r="Q610" s="9">
        <v>19.053000000000001</v>
      </c>
      <c r="R610" s="9"/>
      <c r="S610" s="11"/>
    </row>
    <row r="611" spans="1:19" ht="15.75">
      <c r="A611" s="13">
        <v>60114</v>
      </c>
      <c r="B611" s="8">
        <f>CHOOSE( CONTROL!$C$32, 22.7645, 22.7589) * CHOOSE(CONTROL!$C$15, $D$11, 100%, $F$11)</f>
        <v>22.764500000000002</v>
      </c>
      <c r="C611" s="8">
        <f>CHOOSE( CONTROL!$C$32, 22.7726, 22.767) * CHOOSE(CONTROL!$C$15, $D$11, 100%, $F$11)</f>
        <v>22.772600000000001</v>
      </c>
      <c r="D611" s="8">
        <f>CHOOSE( CONTROL!$C$32, 22.7989, 22.7934) * CHOOSE( CONTROL!$C$15, $D$11, 100%, $F$11)</f>
        <v>22.7989</v>
      </c>
      <c r="E611" s="12">
        <f>CHOOSE( CONTROL!$C$32, 22.7881, 22.7826) * CHOOSE( CONTROL!$C$15, $D$11, 100%, $F$11)</f>
        <v>22.7881</v>
      </c>
      <c r="F611" s="4">
        <f>CHOOSE( CONTROL!$C$32, 23.4769, 23.4713) * CHOOSE(CONTROL!$C$15, $D$11, 100%, $F$11)</f>
        <v>23.476900000000001</v>
      </c>
      <c r="G611" s="8">
        <f>CHOOSE( CONTROL!$C$32, 22.2204, 22.215) * CHOOSE( CONTROL!$C$15, $D$11, 100%, $F$11)</f>
        <v>22.220400000000001</v>
      </c>
      <c r="H611" s="4">
        <f>CHOOSE( CONTROL!$C$32, 23.1647, 23.1593) * CHOOSE(CONTROL!$C$15, $D$11, 100%, $F$11)</f>
        <v>23.1647</v>
      </c>
      <c r="I611" s="8">
        <f>CHOOSE( CONTROL!$C$32, 21.9519, 21.9466) * CHOOSE(CONTROL!$C$15, $D$11, 100%, $F$11)</f>
        <v>21.951899999999998</v>
      </c>
      <c r="J611" s="4">
        <f>CHOOSE( CONTROL!$C$32, 21.827, 21.8216) * CHOOSE(CONTROL!$C$15, $D$11, 100%, $F$11)</f>
        <v>21.827000000000002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1.2183999999999999</v>
      </c>
      <c r="Q611" s="9">
        <v>19.688099999999999</v>
      </c>
      <c r="R611" s="9"/>
      <c r="S611" s="11"/>
    </row>
    <row r="612" spans="1:19" ht="15.75">
      <c r="A612" s="13">
        <v>60145</v>
      </c>
      <c r="B612" s="8">
        <f>CHOOSE( CONTROL!$C$32, 21.01, 21.0045) * CHOOSE(CONTROL!$C$15, $D$11, 100%, $F$11)</f>
        <v>21.01</v>
      </c>
      <c r="C612" s="8">
        <f>CHOOSE( CONTROL!$C$32, 21.0181, 21.0126) * CHOOSE(CONTROL!$C$15, $D$11, 100%, $F$11)</f>
        <v>21.0181</v>
      </c>
      <c r="D612" s="8">
        <f>CHOOSE( CONTROL!$C$32, 21.0445, 21.039) * CHOOSE( CONTROL!$C$15, $D$11, 100%, $F$11)</f>
        <v>21.044499999999999</v>
      </c>
      <c r="E612" s="12">
        <f>CHOOSE( CONTROL!$C$32, 21.0337, 21.0282) * CHOOSE( CONTROL!$C$15, $D$11, 100%, $F$11)</f>
        <v>21.0337</v>
      </c>
      <c r="F612" s="4">
        <f>CHOOSE( CONTROL!$C$32, 21.7224, 21.7169) * CHOOSE(CONTROL!$C$15, $D$11, 100%, $F$11)</f>
        <v>21.7224</v>
      </c>
      <c r="G612" s="8">
        <f>CHOOSE( CONTROL!$C$32, 20.5069, 20.5015) * CHOOSE( CONTROL!$C$15, $D$11, 100%, $F$11)</f>
        <v>20.506900000000002</v>
      </c>
      <c r="H612" s="4">
        <f>CHOOSE( CONTROL!$C$32, 21.4511, 21.4457) * CHOOSE(CONTROL!$C$15, $D$11, 100%, $F$11)</f>
        <v>21.4511</v>
      </c>
      <c r="I612" s="8">
        <f>CHOOSE( CONTROL!$C$32, 20.2669, 20.2616) * CHOOSE(CONTROL!$C$15, $D$11, 100%, $F$11)</f>
        <v>20.2669</v>
      </c>
      <c r="J612" s="4">
        <f>CHOOSE( CONTROL!$C$32, 20.1425, 20.1372) * CHOOSE(CONTROL!$C$15, $D$11, 100%, $F$11)</f>
        <v>20.142499999999998</v>
      </c>
      <c r="K612" s="4"/>
      <c r="L612" s="9">
        <v>30.7165</v>
      </c>
      <c r="M612" s="9">
        <v>12.063700000000001</v>
      </c>
      <c r="N612" s="9">
        <v>4.9444999999999997</v>
      </c>
      <c r="O612" s="9">
        <v>0.37409999999999999</v>
      </c>
      <c r="P612" s="9">
        <v>1.2183999999999999</v>
      </c>
      <c r="Q612" s="9">
        <v>19.688099999999999</v>
      </c>
      <c r="R612" s="9"/>
      <c r="S612" s="11"/>
    </row>
    <row r="613" spans="1:19" ht="15.75">
      <c r="A613" s="13">
        <v>60175</v>
      </c>
      <c r="B613" s="8">
        <f>CHOOSE( CONTROL!$C$32, 20.5707, 20.5651) * CHOOSE(CONTROL!$C$15, $D$11, 100%, $F$11)</f>
        <v>20.570699999999999</v>
      </c>
      <c r="C613" s="8">
        <f>CHOOSE( CONTROL!$C$32, 20.5788, 20.5732) * CHOOSE(CONTROL!$C$15, $D$11, 100%, $F$11)</f>
        <v>20.578800000000001</v>
      </c>
      <c r="D613" s="8">
        <f>CHOOSE( CONTROL!$C$32, 20.6051, 20.5996) * CHOOSE( CONTROL!$C$15, $D$11, 100%, $F$11)</f>
        <v>20.6051</v>
      </c>
      <c r="E613" s="12">
        <f>CHOOSE( CONTROL!$C$32, 20.5943, 20.5888) * CHOOSE( CONTROL!$C$15, $D$11, 100%, $F$11)</f>
        <v>20.5943</v>
      </c>
      <c r="F613" s="4">
        <f>CHOOSE( CONTROL!$C$32, 21.2831, 21.2775) * CHOOSE(CONTROL!$C$15, $D$11, 100%, $F$11)</f>
        <v>21.283100000000001</v>
      </c>
      <c r="G613" s="8">
        <f>CHOOSE( CONTROL!$C$32, 20.0777, 20.0723) * CHOOSE( CONTROL!$C$15, $D$11, 100%, $F$11)</f>
        <v>20.0777</v>
      </c>
      <c r="H613" s="4">
        <f>CHOOSE( CONTROL!$C$32, 21.022, 21.0166) * CHOOSE(CONTROL!$C$15, $D$11, 100%, $F$11)</f>
        <v>21.021999999999998</v>
      </c>
      <c r="I613" s="8">
        <f>CHOOSE( CONTROL!$C$32, 19.8446, 19.8393) * CHOOSE(CONTROL!$C$15, $D$11, 100%, $F$11)</f>
        <v>19.8446</v>
      </c>
      <c r="J613" s="4">
        <f>CHOOSE( CONTROL!$C$32, 19.7207, 19.7154) * CHOOSE(CONTROL!$C$15, $D$11, 100%, $F$11)</f>
        <v>19.720700000000001</v>
      </c>
      <c r="K613" s="4"/>
      <c r="L613" s="9">
        <v>29.7257</v>
      </c>
      <c r="M613" s="9">
        <v>11.6745</v>
      </c>
      <c r="N613" s="9">
        <v>4.7850000000000001</v>
      </c>
      <c r="O613" s="9">
        <v>0.36199999999999999</v>
      </c>
      <c r="P613" s="9">
        <v>1.1791</v>
      </c>
      <c r="Q613" s="9">
        <v>19.053000000000001</v>
      </c>
      <c r="R613" s="9"/>
      <c r="S613" s="11"/>
    </row>
    <row r="614" spans="1:19" ht="15.75">
      <c r="A614" s="13">
        <v>60206</v>
      </c>
      <c r="B614" s="8">
        <f>21.4756 * CHOOSE(CONTROL!$C$15, $D$11, 100%, $F$11)</f>
        <v>21.4756</v>
      </c>
      <c r="C614" s="8">
        <f>21.4811 * CHOOSE(CONTROL!$C$15, $D$11, 100%, $F$11)</f>
        <v>21.481100000000001</v>
      </c>
      <c r="D614" s="8">
        <f>21.5122 * CHOOSE( CONTROL!$C$15, $D$11, 100%, $F$11)</f>
        <v>21.5122</v>
      </c>
      <c r="E614" s="12">
        <f>21.5013 * CHOOSE( CONTROL!$C$15, $D$11, 100%, $F$11)</f>
        <v>21.501300000000001</v>
      </c>
      <c r="F614" s="4">
        <f>22.1897 * CHOOSE(CONTROL!$C$15, $D$11, 100%, $F$11)</f>
        <v>22.189699999999998</v>
      </c>
      <c r="G614" s="8">
        <f>20.9624 * CHOOSE( CONTROL!$C$15, $D$11, 100%, $F$11)</f>
        <v>20.962399999999999</v>
      </c>
      <c r="H614" s="4">
        <f>21.9076 * CHOOSE(CONTROL!$C$15, $D$11, 100%, $F$11)</f>
        <v>21.907599999999999</v>
      </c>
      <c r="I614" s="8">
        <f>20.7164 * CHOOSE(CONTROL!$C$15, $D$11, 100%, $F$11)</f>
        <v>20.7164</v>
      </c>
      <c r="J614" s="4">
        <f>20.5912 * CHOOSE(CONTROL!$C$15, $D$11, 100%, $F$11)</f>
        <v>20.591200000000001</v>
      </c>
      <c r="K614" s="4"/>
      <c r="L614" s="9">
        <v>31.095300000000002</v>
      </c>
      <c r="M614" s="9">
        <v>12.063700000000001</v>
      </c>
      <c r="N614" s="9">
        <v>4.9444999999999997</v>
      </c>
      <c r="O614" s="9">
        <v>0.37409999999999999</v>
      </c>
      <c r="P614" s="9">
        <v>1.2183999999999999</v>
      </c>
      <c r="Q614" s="9">
        <v>19.688099999999999</v>
      </c>
      <c r="R614" s="9"/>
      <c r="S614" s="11"/>
    </row>
    <row r="615" spans="1:19" ht="15.75">
      <c r="A615" s="13">
        <v>60236</v>
      </c>
      <c r="B615" s="8">
        <f>23.159 * CHOOSE(CONTROL!$C$15, $D$11, 100%, $F$11)</f>
        <v>23.158999999999999</v>
      </c>
      <c r="C615" s="8">
        <f>23.1642 * CHOOSE(CONTROL!$C$15, $D$11, 100%, $F$11)</f>
        <v>23.164200000000001</v>
      </c>
      <c r="D615" s="8">
        <f>23.1504 * CHOOSE( CONTROL!$C$15, $D$11, 100%, $F$11)</f>
        <v>23.150400000000001</v>
      </c>
      <c r="E615" s="12">
        <f>23.1549 * CHOOSE( CONTROL!$C$15, $D$11, 100%, $F$11)</f>
        <v>23.154900000000001</v>
      </c>
      <c r="F615" s="4">
        <f>23.8095 * CHOOSE(CONTROL!$C$15, $D$11, 100%, $F$11)</f>
        <v>23.8095</v>
      </c>
      <c r="G615" s="8">
        <f>22.6146 * CHOOSE( CONTROL!$C$15, $D$11, 100%, $F$11)</f>
        <v>22.614599999999999</v>
      </c>
      <c r="H615" s="4">
        <f>23.4896 * CHOOSE(CONTROL!$C$15, $D$11, 100%, $F$11)</f>
        <v>23.489599999999999</v>
      </c>
      <c r="I615" s="8">
        <f>22.3775 * CHOOSE(CONTROL!$C$15, $D$11, 100%, $F$11)</f>
        <v>22.377500000000001</v>
      </c>
      <c r="J615" s="4">
        <f>22.2078 * CHOOSE(CONTROL!$C$15, $D$11, 100%, $F$11)</f>
        <v>22.207799999999999</v>
      </c>
      <c r="K615" s="4"/>
      <c r="L615" s="9">
        <v>28.360600000000002</v>
      </c>
      <c r="M615" s="9">
        <v>11.6745</v>
      </c>
      <c r="N615" s="9">
        <v>4.7850000000000001</v>
      </c>
      <c r="O615" s="9">
        <v>0.36199999999999999</v>
      </c>
      <c r="P615" s="9">
        <v>1.2509999999999999</v>
      </c>
      <c r="Q615" s="9">
        <v>19.053000000000001</v>
      </c>
      <c r="R615" s="9"/>
      <c r="S615" s="11"/>
    </row>
    <row r="616" spans="1:19" ht="15.75">
      <c r="A616" s="13">
        <v>60267</v>
      </c>
      <c r="B616" s="8">
        <f>23.1169 * CHOOSE(CONTROL!$C$15, $D$11, 100%, $F$11)</f>
        <v>23.116900000000001</v>
      </c>
      <c r="C616" s="8">
        <f>23.1221 * CHOOSE(CONTROL!$C$15, $D$11, 100%, $F$11)</f>
        <v>23.1221</v>
      </c>
      <c r="D616" s="8">
        <f>23.1098 * CHOOSE( CONTROL!$C$15, $D$11, 100%, $F$11)</f>
        <v>23.1098</v>
      </c>
      <c r="E616" s="12">
        <f>23.1137 * CHOOSE( CONTROL!$C$15, $D$11, 100%, $F$11)</f>
        <v>23.113700000000001</v>
      </c>
      <c r="F616" s="4">
        <f>23.7674 * CHOOSE(CONTROL!$C$15, $D$11, 100%, $F$11)</f>
        <v>23.767399999999999</v>
      </c>
      <c r="G616" s="8">
        <f>22.5746 * CHOOSE( CONTROL!$C$15, $D$11, 100%, $F$11)</f>
        <v>22.5746</v>
      </c>
      <c r="H616" s="4">
        <f>23.4485 * CHOOSE(CONTROL!$C$15, $D$11, 100%, $F$11)</f>
        <v>23.448499999999999</v>
      </c>
      <c r="I616" s="8">
        <f>22.3418 * CHOOSE(CONTROL!$C$15, $D$11, 100%, $F$11)</f>
        <v>22.341799999999999</v>
      </c>
      <c r="J616" s="4">
        <f>22.1674 * CHOOSE(CONTROL!$C$15, $D$11, 100%, $F$11)</f>
        <v>22.167400000000001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60298</v>
      </c>
      <c r="B617" s="8">
        <f>23.9994 * CHOOSE(CONTROL!$C$15, $D$11, 100%, $F$11)</f>
        <v>23.999400000000001</v>
      </c>
      <c r="C617" s="8">
        <f>24.0046 * CHOOSE(CONTROL!$C$15, $D$11, 100%, $F$11)</f>
        <v>24.0046</v>
      </c>
      <c r="D617" s="8">
        <f>23.987 * CHOOSE( CONTROL!$C$15, $D$11, 100%, $F$11)</f>
        <v>23.986999999999998</v>
      </c>
      <c r="E617" s="12">
        <f>23.9929 * CHOOSE( CONTROL!$C$15, $D$11, 100%, $F$11)</f>
        <v>23.992899999999999</v>
      </c>
      <c r="F617" s="4">
        <f>24.6498 * CHOOSE(CONTROL!$C$15, $D$11, 100%, $F$11)</f>
        <v>24.649799999999999</v>
      </c>
      <c r="G617" s="8">
        <f>23.4264 * CHOOSE( CONTROL!$C$15, $D$11, 100%, $F$11)</f>
        <v>23.426400000000001</v>
      </c>
      <c r="H617" s="4">
        <f>24.3103 * CHOOSE(CONTROL!$C$15, $D$11, 100%, $F$11)</f>
        <v>24.310300000000002</v>
      </c>
      <c r="I617" s="8">
        <f>23.1493 * CHOOSE(CONTROL!$C$15, $D$11, 100%, $F$11)</f>
        <v>23.1493</v>
      </c>
      <c r="J617" s="4">
        <f>23.0146 * CHOOSE(CONTROL!$C$15, $D$11, 100%, $F$11)</f>
        <v>23.014600000000002</v>
      </c>
      <c r="K617" s="4"/>
      <c r="L617" s="9">
        <v>29.306000000000001</v>
      </c>
      <c r="M617" s="9">
        <v>12.063700000000001</v>
      </c>
      <c r="N617" s="9">
        <v>4.9444999999999997</v>
      </c>
      <c r="O617" s="9">
        <v>0.37409999999999999</v>
      </c>
      <c r="P617" s="9">
        <v>1.2927</v>
      </c>
      <c r="Q617" s="9">
        <v>19.688099999999999</v>
      </c>
      <c r="R617" s="9"/>
      <c r="S617" s="11"/>
    </row>
    <row r="618" spans="1:19" ht="15.75">
      <c r="A618" s="13">
        <v>60326</v>
      </c>
      <c r="B618" s="8">
        <f>22.4497 * CHOOSE(CONTROL!$C$15, $D$11, 100%, $F$11)</f>
        <v>22.4497</v>
      </c>
      <c r="C618" s="8">
        <f>22.4549 * CHOOSE(CONTROL!$C$15, $D$11, 100%, $F$11)</f>
        <v>22.454899999999999</v>
      </c>
      <c r="D618" s="8">
        <f>22.4372 * CHOOSE( CONTROL!$C$15, $D$11, 100%, $F$11)</f>
        <v>22.437200000000001</v>
      </c>
      <c r="E618" s="12">
        <f>22.4431 * CHOOSE( CONTROL!$C$15, $D$11, 100%, $F$11)</f>
        <v>22.443100000000001</v>
      </c>
      <c r="F618" s="4">
        <f>23.1001 * CHOOSE(CONTROL!$C$15, $D$11, 100%, $F$11)</f>
        <v>23.100100000000001</v>
      </c>
      <c r="G618" s="8">
        <f>21.9128 * CHOOSE( CONTROL!$C$15, $D$11, 100%, $F$11)</f>
        <v>21.912800000000001</v>
      </c>
      <c r="H618" s="4">
        <f>22.7968 * CHOOSE(CONTROL!$C$15, $D$11, 100%, $F$11)</f>
        <v>22.796800000000001</v>
      </c>
      <c r="I618" s="8">
        <f>21.6605 * CHOOSE(CONTROL!$C$15, $D$11, 100%, $F$11)</f>
        <v>21.660499999999999</v>
      </c>
      <c r="J618" s="4">
        <f>21.5268 * CHOOSE(CONTROL!$C$15, $D$11, 100%, $F$11)</f>
        <v>21.526800000000001</v>
      </c>
      <c r="K618" s="4"/>
      <c r="L618" s="9">
        <v>26.469899999999999</v>
      </c>
      <c r="M618" s="9">
        <v>10.8962</v>
      </c>
      <c r="N618" s="9">
        <v>4.4660000000000002</v>
      </c>
      <c r="O618" s="9">
        <v>0.33789999999999998</v>
      </c>
      <c r="P618" s="9">
        <v>1.1676</v>
      </c>
      <c r="Q618" s="9">
        <v>17.782800000000002</v>
      </c>
      <c r="R618" s="9"/>
      <c r="S618" s="11"/>
    </row>
    <row r="619" spans="1:19" ht="15.75">
      <c r="A619" s="13">
        <v>60357</v>
      </c>
      <c r="B619" s="8">
        <f>21.9724 * CHOOSE(CONTROL!$C$15, $D$11, 100%, $F$11)</f>
        <v>21.9724</v>
      </c>
      <c r="C619" s="8">
        <f>21.9776 * CHOOSE(CONTROL!$C$15, $D$11, 100%, $F$11)</f>
        <v>21.977599999999999</v>
      </c>
      <c r="D619" s="8">
        <f>21.9596 * CHOOSE( CONTROL!$C$15, $D$11, 100%, $F$11)</f>
        <v>21.959599999999998</v>
      </c>
      <c r="E619" s="12">
        <f>21.9656 * CHOOSE( CONTROL!$C$15, $D$11, 100%, $F$11)</f>
        <v>21.965599999999998</v>
      </c>
      <c r="F619" s="4">
        <f>22.6228 * CHOOSE(CONTROL!$C$15, $D$11, 100%, $F$11)</f>
        <v>22.622800000000002</v>
      </c>
      <c r="G619" s="8">
        <f>21.4463 * CHOOSE( CONTROL!$C$15, $D$11, 100%, $F$11)</f>
        <v>21.446300000000001</v>
      </c>
      <c r="H619" s="4">
        <f>22.3306 * CHOOSE(CONTROL!$C$15, $D$11, 100%, $F$11)</f>
        <v>22.3306</v>
      </c>
      <c r="I619" s="8">
        <f>21.2009 * CHOOSE(CONTROL!$C$15, $D$11, 100%, $F$11)</f>
        <v>21.200900000000001</v>
      </c>
      <c r="J619" s="4">
        <f>21.0685 * CHOOSE(CONTROL!$C$15, $D$11, 100%, $F$11)</f>
        <v>21.0685</v>
      </c>
      <c r="K619" s="4"/>
      <c r="L619" s="9">
        <v>29.306000000000001</v>
      </c>
      <c r="M619" s="9">
        <v>12.063700000000001</v>
      </c>
      <c r="N619" s="9">
        <v>4.9444999999999997</v>
      </c>
      <c r="O619" s="9">
        <v>0.37409999999999999</v>
      </c>
      <c r="P619" s="9">
        <v>1.2927</v>
      </c>
      <c r="Q619" s="9">
        <v>19.688099999999999</v>
      </c>
      <c r="R619" s="9"/>
      <c r="S619" s="11"/>
    </row>
    <row r="620" spans="1:19" ht="15.75">
      <c r="A620" s="13">
        <v>60387</v>
      </c>
      <c r="B620" s="8">
        <f>22.3067 * CHOOSE(CONTROL!$C$15, $D$11, 100%, $F$11)</f>
        <v>22.306699999999999</v>
      </c>
      <c r="C620" s="8">
        <f>22.3113 * CHOOSE(CONTROL!$C$15, $D$11, 100%, $F$11)</f>
        <v>22.311299999999999</v>
      </c>
      <c r="D620" s="8">
        <f>22.3424 * CHOOSE( CONTROL!$C$15, $D$11, 100%, $F$11)</f>
        <v>22.342400000000001</v>
      </c>
      <c r="E620" s="12">
        <f>22.3316 * CHOOSE( CONTROL!$C$15, $D$11, 100%, $F$11)</f>
        <v>22.331600000000002</v>
      </c>
      <c r="F620" s="4">
        <f>23.0204 * CHOOSE(CONTROL!$C$15, $D$11, 100%, $F$11)</f>
        <v>23.020399999999999</v>
      </c>
      <c r="G620" s="8">
        <f>21.7729 * CHOOSE( CONTROL!$C$15, $D$11, 100%, $F$11)</f>
        <v>21.7729</v>
      </c>
      <c r="H620" s="4">
        <f>22.7189 * CHOOSE(CONTROL!$C$15, $D$11, 100%, $F$11)</f>
        <v>22.718900000000001</v>
      </c>
      <c r="I620" s="8">
        <f>21.5117 * CHOOSE(CONTROL!$C$15, $D$11, 100%, $F$11)</f>
        <v>21.511700000000001</v>
      </c>
      <c r="J620" s="4">
        <f>21.3887 * CHOOSE(CONTROL!$C$15, $D$11, 100%, $F$11)</f>
        <v>21.3887</v>
      </c>
      <c r="K620" s="4"/>
      <c r="L620" s="9">
        <v>30.092199999999998</v>
      </c>
      <c r="M620" s="9">
        <v>11.6745</v>
      </c>
      <c r="N620" s="9">
        <v>4.7850000000000001</v>
      </c>
      <c r="O620" s="9">
        <v>0.36199999999999999</v>
      </c>
      <c r="P620" s="9">
        <v>1.1791</v>
      </c>
      <c r="Q620" s="9">
        <v>19.053000000000001</v>
      </c>
      <c r="R620" s="9"/>
      <c r="S620" s="11"/>
    </row>
    <row r="621" spans="1:19" ht="15.75">
      <c r="A621" s="13">
        <v>60418</v>
      </c>
      <c r="B621" s="8">
        <f>CHOOSE( CONTROL!$C$32, 22.9072, 22.9016) * CHOOSE(CONTROL!$C$15, $D$11, 100%, $F$11)</f>
        <v>22.9072</v>
      </c>
      <c r="C621" s="8">
        <f>CHOOSE( CONTROL!$C$32, 22.9153, 22.9097) * CHOOSE(CONTROL!$C$15, $D$11, 100%, $F$11)</f>
        <v>22.915299999999998</v>
      </c>
      <c r="D621" s="8">
        <f>CHOOSE( CONTROL!$C$32, 22.9413, 22.9357) * CHOOSE( CONTROL!$C$15, $D$11, 100%, $F$11)</f>
        <v>22.941299999999998</v>
      </c>
      <c r="E621" s="12">
        <f>CHOOSE( CONTROL!$C$32, 22.9306, 22.925) * CHOOSE( CONTROL!$C$15, $D$11, 100%, $F$11)</f>
        <v>22.930599999999998</v>
      </c>
      <c r="F621" s="4">
        <f>CHOOSE( CONTROL!$C$32, 23.6196, 23.614) * CHOOSE(CONTROL!$C$15, $D$11, 100%, $F$11)</f>
        <v>23.619599999999998</v>
      </c>
      <c r="G621" s="8">
        <f>CHOOSE( CONTROL!$C$32, 22.3593, 22.3538) * CHOOSE( CONTROL!$C$15, $D$11, 100%, $F$11)</f>
        <v>22.359300000000001</v>
      </c>
      <c r="H621" s="4">
        <f>CHOOSE( CONTROL!$C$32, 23.3041, 23.2987) * CHOOSE(CONTROL!$C$15, $D$11, 100%, $F$11)</f>
        <v>23.304099999999998</v>
      </c>
      <c r="I621" s="8">
        <f>CHOOSE( CONTROL!$C$32, 22.0872, 22.0819) * CHOOSE(CONTROL!$C$15, $D$11, 100%, $F$11)</f>
        <v>22.087199999999999</v>
      </c>
      <c r="J621" s="4">
        <f>CHOOSE( CONTROL!$C$32, 21.964, 21.9586) * CHOOSE(CONTROL!$C$15, $D$11, 100%, $F$11)</f>
        <v>21.963999999999999</v>
      </c>
      <c r="K621" s="4"/>
      <c r="L621" s="9">
        <v>30.7165</v>
      </c>
      <c r="M621" s="9">
        <v>12.063700000000001</v>
      </c>
      <c r="N621" s="9">
        <v>4.9444999999999997</v>
      </c>
      <c r="O621" s="9">
        <v>0.37409999999999999</v>
      </c>
      <c r="P621" s="9">
        <v>1.2183999999999999</v>
      </c>
      <c r="Q621" s="9">
        <v>19.688099999999999</v>
      </c>
      <c r="R621" s="9"/>
      <c r="S621" s="11"/>
    </row>
    <row r="622" spans="1:19" ht="15.75">
      <c r="A622" s="13">
        <v>60448</v>
      </c>
      <c r="B622" s="8">
        <f>CHOOSE( CONTROL!$C$32, 22.5395, 22.5339) * CHOOSE(CONTROL!$C$15, $D$11, 100%, $F$11)</f>
        <v>22.5395</v>
      </c>
      <c r="C622" s="8">
        <f>CHOOSE( CONTROL!$C$32, 22.5476, 22.542) * CHOOSE(CONTROL!$C$15, $D$11, 100%, $F$11)</f>
        <v>22.547599999999999</v>
      </c>
      <c r="D622" s="8">
        <f>CHOOSE( CONTROL!$C$32, 22.5737, 22.5681) * CHOOSE( CONTROL!$C$15, $D$11, 100%, $F$11)</f>
        <v>22.573699999999999</v>
      </c>
      <c r="E622" s="12">
        <f>CHOOSE( CONTROL!$C$32, 22.563, 22.5574) * CHOOSE( CONTROL!$C$15, $D$11, 100%, $F$11)</f>
        <v>22.562999999999999</v>
      </c>
      <c r="F622" s="4">
        <f>CHOOSE( CONTROL!$C$32, 23.2519, 23.2463) * CHOOSE(CONTROL!$C$15, $D$11, 100%, $F$11)</f>
        <v>23.251899999999999</v>
      </c>
      <c r="G622" s="8">
        <f>CHOOSE( CONTROL!$C$32, 22.0004, 21.9949) * CHOOSE( CONTROL!$C$15, $D$11, 100%, $F$11)</f>
        <v>22.000399999999999</v>
      </c>
      <c r="H622" s="4">
        <f>CHOOSE( CONTROL!$C$32, 22.945, 22.9395) * CHOOSE(CONTROL!$C$15, $D$11, 100%, $F$11)</f>
        <v>22.945</v>
      </c>
      <c r="I622" s="8">
        <f>CHOOSE( CONTROL!$C$32, 21.7348, 21.7295) * CHOOSE(CONTROL!$C$15, $D$11, 100%, $F$11)</f>
        <v>21.7348</v>
      </c>
      <c r="J622" s="4">
        <f>CHOOSE( CONTROL!$C$32, 21.6109, 21.6056) * CHOOSE(CONTROL!$C$15, $D$11, 100%, $F$11)</f>
        <v>21.610900000000001</v>
      </c>
      <c r="K622" s="4"/>
      <c r="L622" s="9">
        <v>29.7257</v>
      </c>
      <c r="M622" s="9">
        <v>11.6745</v>
      </c>
      <c r="N622" s="9">
        <v>4.7850000000000001</v>
      </c>
      <c r="O622" s="9">
        <v>0.36199999999999999</v>
      </c>
      <c r="P622" s="9">
        <v>1.1791</v>
      </c>
      <c r="Q622" s="9">
        <v>19.053000000000001</v>
      </c>
      <c r="R622" s="9"/>
      <c r="S622" s="11"/>
    </row>
    <row r="623" spans="1:19" ht="15.75">
      <c r="A623" s="13">
        <v>60479</v>
      </c>
      <c r="B623" s="8">
        <f>CHOOSE( CONTROL!$C$32, 23.5078, 23.5023) * CHOOSE(CONTROL!$C$15, $D$11, 100%, $F$11)</f>
        <v>23.5078</v>
      </c>
      <c r="C623" s="8">
        <f>CHOOSE( CONTROL!$C$32, 23.5159, 23.5103) * CHOOSE(CONTROL!$C$15, $D$11, 100%, $F$11)</f>
        <v>23.515899999999998</v>
      </c>
      <c r="D623" s="8">
        <f>CHOOSE( CONTROL!$C$32, 23.5422, 23.5367) * CHOOSE( CONTROL!$C$15, $D$11, 100%, $F$11)</f>
        <v>23.542200000000001</v>
      </c>
      <c r="E623" s="12">
        <f>CHOOSE( CONTROL!$C$32, 23.5314, 23.5259) * CHOOSE( CONTROL!$C$15, $D$11, 100%, $F$11)</f>
        <v>23.531400000000001</v>
      </c>
      <c r="F623" s="4">
        <f>CHOOSE( CONTROL!$C$32, 24.2202, 24.2146) * CHOOSE(CONTROL!$C$15, $D$11, 100%, $F$11)</f>
        <v>24.220199999999998</v>
      </c>
      <c r="G623" s="8">
        <f>CHOOSE( CONTROL!$C$32, 22.9464, 22.941) * CHOOSE( CONTROL!$C$15, $D$11, 100%, $F$11)</f>
        <v>22.946400000000001</v>
      </c>
      <c r="H623" s="4">
        <f>CHOOSE( CONTROL!$C$32, 23.8907, 23.8853) * CHOOSE(CONTROL!$C$15, $D$11, 100%, $F$11)</f>
        <v>23.890699999999999</v>
      </c>
      <c r="I623" s="8">
        <f>CHOOSE( CONTROL!$C$32, 22.6659, 22.6606) * CHOOSE(CONTROL!$C$15, $D$11, 100%, $F$11)</f>
        <v>22.665900000000001</v>
      </c>
      <c r="J623" s="4">
        <f>CHOOSE( CONTROL!$C$32, 22.5406, 22.5353) * CHOOSE(CONTROL!$C$15, $D$11, 100%, $F$11)</f>
        <v>22.540600000000001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1.2183999999999999</v>
      </c>
      <c r="Q623" s="9">
        <v>19.688099999999999</v>
      </c>
      <c r="R623" s="9"/>
      <c r="S623" s="11"/>
    </row>
    <row r="624" spans="1:19" ht="15.75">
      <c r="A624" s="13">
        <v>60510</v>
      </c>
      <c r="B624" s="8">
        <f>CHOOSE( CONTROL!$C$32, 21.696, 21.6904) * CHOOSE(CONTROL!$C$15, $D$11, 100%, $F$11)</f>
        <v>21.696000000000002</v>
      </c>
      <c r="C624" s="8">
        <f>CHOOSE( CONTROL!$C$32, 21.7041, 21.6985) * CHOOSE(CONTROL!$C$15, $D$11, 100%, $F$11)</f>
        <v>21.7041</v>
      </c>
      <c r="D624" s="8">
        <f>CHOOSE( CONTROL!$C$32, 21.7305, 21.7249) * CHOOSE( CONTROL!$C$15, $D$11, 100%, $F$11)</f>
        <v>21.730499999999999</v>
      </c>
      <c r="E624" s="12">
        <f>CHOOSE( CONTROL!$C$32, 21.7197, 21.7141) * CHOOSE( CONTROL!$C$15, $D$11, 100%, $F$11)</f>
        <v>21.7197</v>
      </c>
      <c r="F624" s="4">
        <f>CHOOSE( CONTROL!$C$32, 22.4084, 22.4028) * CHOOSE(CONTROL!$C$15, $D$11, 100%, $F$11)</f>
        <v>22.4084</v>
      </c>
      <c r="G624" s="8">
        <f>CHOOSE( CONTROL!$C$32, 21.1769, 21.1714) * CHOOSE( CONTROL!$C$15, $D$11, 100%, $F$11)</f>
        <v>21.1769</v>
      </c>
      <c r="H624" s="4">
        <f>CHOOSE( CONTROL!$C$32, 22.1211, 22.1157) * CHOOSE(CONTROL!$C$15, $D$11, 100%, $F$11)</f>
        <v>22.121099999999998</v>
      </c>
      <c r="I624" s="8">
        <f>CHOOSE( CONTROL!$C$32, 20.9258, 20.9204) * CHOOSE(CONTROL!$C$15, $D$11, 100%, $F$11)</f>
        <v>20.925799999999999</v>
      </c>
      <c r="J624" s="4">
        <f>CHOOSE( CONTROL!$C$32, 20.8011, 20.7957) * CHOOSE(CONTROL!$C$15, $D$11, 100%, $F$11)</f>
        <v>20.801100000000002</v>
      </c>
      <c r="K624" s="4"/>
      <c r="L624" s="9">
        <v>30.7165</v>
      </c>
      <c r="M624" s="9">
        <v>12.063700000000001</v>
      </c>
      <c r="N624" s="9">
        <v>4.9444999999999997</v>
      </c>
      <c r="O624" s="9">
        <v>0.37409999999999999</v>
      </c>
      <c r="P624" s="9">
        <v>1.2183999999999999</v>
      </c>
      <c r="Q624" s="9">
        <v>19.688099999999999</v>
      </c>
      <c r="R624" s="9"/>
      <c r="S624" s="11"/>
    </row>
    <row r="625" spans="1:19" ht="15.75">
      <c r="A625" s="13">
        <v>60540</v>
      </c>
      <c r="B625" s="8">
        <f>CHOOSE( CONTROL!$C$32, 21.2423, 21.2367) * CHOOSE(CONTROL!$C$15, $D$11, 100%, $F$11)</f>
        <v>21.2423</v>
      </c>
      <c r="C625" s="8">
        <f>CHOOSE( CONTROL!$C$32, 21.2503, 21.2448) * CHOOSE(CONTROL!$C$15, $D$11, 100%, $F$11)</f>
        <v>21.250299999999999</v>
      </c>
      <c r="D625" s="8">
        <f>CHOOSE( CONTROL!$C$32, 21.2767, 21.2711) * CHOOSE( CONTROL!$C$15, $D$11, 100%, $F$11)</f>
        <v>21.276700000000002</v>
      </c>
      <c r="E625" s="12">
        <f>CHOOSE( CONTROL!$C$32, 21.2659, 21.2603) * CHOOSE( CONTROL!$C$15, $D$11, 100%, $F$11)</f>
        <v>21.265899999999998</v>
      </c>
      <c r="F625" s="4">
        <f>CHOOSE( CONTROL!$C$32, 21.9546, 21.9491) * CHOOSE(CONTROL!$C$15, $D$11, 100%, $F$11)</f>
        <v>21.954599999999999</v>
      </c>
      <c r="G625" s="8">
        <f>CHOOSE( CONTROL!$C$32, 20.7337, 20.7282) * CHOOSE( CONTROL!$C$15, $D$11, 100%, $F$11)</f>
        <v>20.733699999999999</v>
      </c>
      <c r="H625" s="4">
        <f>CHOOSE( CONTROL!$C$32, 21.678, 21.6725) * CHOOSE(CONTROL!$C$15, $D$11, 100%, $F$11)</f>
        <v>21.678000000000001</v>
      </c>
      <c r="I625" s="8">
        <f>CHOOSE( CONTROL!$C$32, 20.4897, 20.4844) * CHOOSE(CONTROL!$C$15, $D$11, 100%, $F$11)</f>
        <v>20.489699999999999</v>
      </c>
      <c r="J625" s="4">
        <f>CHOOSE( CONTROL!$C$32, 20.3655, 20.3601) * CHOOSE(CONTROL!$C$15, $D$11, 100%, $F$11)</f>
        <v>20.365500000000001</v>
      </c>
      <c r="K625" s="4"/>
      <c r="L625" s="9">
        <v>29.7257</v>
      </c>
      <c r="M625" s="9">
        <v>11.6745</v>
      </c>
      <c r="N625" s="9">
        <v>4.7850000000000001</v>
      </c>
      <c r="O625" s="9">
        <v>0.36199999999999999</v>
      </c>
      <c r="P625" s="9">
        <v>1.1791</v>
      </c>
      <c r="Q625" s="9">
        <v>19.053000000000001</v>
      </c>
      <c r="R625" s="9"/>
      <c r="S625" s="11"/>
    </row>
    <row r="626" spans="1:19" ht="15.75">
      <c r="A626" s="13">
        <v>60571</v>
      </c>
      <c r="B626" s="8">
        <f>22.177 * CHOOSE(CONTROL!$C$15, $D$11, 100%, $F$11)</f>
        <v>22.177</v>
      </c>
      <c r="C626" s="8">
        <f>22.1825 * CHOOSE(CONTROL!$C$15, $D$11, 100%, $F$11)</f>
        <v>22.182500000000001</v>
      </c>
      <c r="D626" s="8">
        <f>22.2136 * CHOOSE( CONTROL!$C$15, $D$11, 100%, $F$11)</f>
        <v>22.2136</v>
      </c>
      <c r="E626" s="12">
        <f>22.2027 * CHOOSE( CONTROL!$C$15, $D$11, 100%, $F$11)</f>
        <v>22.2027</v>
      </c>
      <c r="F626" s="4">
        <f>22.8911 * CHOOSE(CONTROL!$C$15, $D$11, 100%, $F$11)</f>
        <v>22.891100000000002</v>
      </c>
      <c r="G626" s="8">
        <f>21.6475 * CHOOSE( CONTROL!$C$15, $D$11, 100%, $F$11)</f>
        <v>21.647500000000001</v>
      </c>
      <c r="H626" s="4">
        <f>22.5926 * CHOOSE(CONTROL!$C$15, $D$11, 100%, $F$11)</f>
        <v>22.592600000000001</v>
      </c>
      <c r="I626" s="8">
        <f>21.3902 * CHOOSE(CONTROL!$C$15, $D$11, 100%, $F$11)</f>
        <v>21.3902</v>
      </c>
      <c r="J626" s="4">
        <f>21.2646 * CHOOSE(CONTROL!$C$15, $D$11, 100%, $F$11)</f>
        <v>21.264600000000002</v>
      </c>
      <c r="K626" s="4"/>
      <c r="L626" s="9">
        <v>31.095300000000002</v>
      </c>
      <c r="M626" s="9">
        <v>12.063700000000001</v>
      </c>
      <c r="N626" s="9">
        <v>4.9444999999999997</v>
      </c>
      <c r="O626" s="9">
        <v>0.37409999999999999</v>
      </c>
      <c r="P626" s="9">
        <v>1.2183999999999999</v>
      </c>
      <c r="Q626" s="9">
        <v>19.688099999999999</v>
      </c>
      <c r="R626" s="9"/>
      <c r="S626" s="11"/>
    </row>
    <row r="627" spans="1:19" ht="15.75">
      <c r="A627" s="13">
        <v>60601</v>
      </c>
      <c r="B627" s="8">
        <f>23.9155 * CHOOSE(CONTROL!$C$15, $D$11, 100%, $F$11)</f>
        <v>23.915500000000002</v>
      </c>
      <c r="C627" s="8">
        <f>23.9206 * CHOOSE(CONTROL!$C$15, $D$11, 100%, $F$11)</f>
        <v>23.9206</v>
      </c>
      <c r="D627" s="8">
        <f>23.9069 * CHOOSE( CONTROL!$C$15, $D$11, 100%, $F$11)</f>
        <v>23.9069</v>
      </c>
      <c r="E627" s="12">
        <f>23.9114 * CHOOSE( CONTROL!$C$15, $D$11, 100%, $F$11)</f>
        <v>23.9114</v>
      </c>
      <c r="F627" s="4">
        <f>24.5659 * CHOOSE(CONTROL!$C$15, $D$11, 100%, $F$11)</f>
        <v>24.565899999999999</v>
      </c>
      <c r="G627" s="8">
        <f>23.3534 * CHOOSE( CONTROL!$C$15, $D$11, 100%, $F$11)</f>
        <v>23.353400000000001</v>
      </c>
      <c r="H627" s="4">
        <f>24.2284 * CHOOSE(CONTROL!$C$15, $D$11, 100%, $F$11)</f>
        <v>24.228400000000001</v>
      </c>
      <c r="I627" s="8">
        <f>23.1041 * CHOOSE(CONTROL!$C$15, $D$11, 100%, $F$11)</f>
        <v>23.104099999999999</v>
      </c>
      <c r="J627" s="4">
        <f>22.9341 * CHOOSE(CONTROL!$C$15, $D$11, 100%, $F$11)</f>
        <v>22.934100000000001</v>
      </c>
      <c r="K627" s="4"/>
      <c r="L627" s="9">
        <v>28.360600000000002</v>
      </c>
      <c r="M627" s="9">
        <v>11.6745</v>
      </c>
      <c r="N627" s="9">
        <v>4.7850000000000001</v>
      </c>
      <c r="O627" s="9">
        <v>0.36199999999999999</v>
      </c>
      <c r="P627" s="9">
        <v>1.2509999999999999</v>
      </c>
      <c r="Q627" s="9">
        <v>19.053000000000001</v>
      </c>
      <c r="R627" s="9"/>
      <c r="S627" s="11"/>
    </row>
    <row r="628" spans="1:19" ht="15.75">
      <c r="A628" s="13">
        <v>60632</v>
      </c>
      <c r="B628" s="8">
        <f>23.872 * CHOOSE(CONTROL!$C$15, $D$11, 100%, $F$11)</f>
        <v>23.872</v>
      </c>
      <c r="C628" s="8">
        <f>23.8772 * CHOOSE(CONTROL!$C$15, $D$11, 100%, $F$11)</f>
        <v>23.877199999999998</v>
      </c>
      <c r="D628" s="8">
        <f>23.8649 * CHOOSE( CONTROL!$C$15, $D$11, 100%, $F$11)</f>
        <v>23.864899999999999</v>
      </c>
      <c r="E628" s="12">
        <f>23.8688 * CHOOSE( CONTROL!$C$15, $D$11, 100%, $F$11)</f>
        <v>23.8688</v>
      </c>
      <c r="F628" s="4">
        <f>24.5225 * CHOOSE(CONTROL!$C$15, $D$11, 100%, $F$11)</f>
        <v>24.522500000000001</v>
      </c>
      <c r="G628" s="8">
        <f>23.3121 * CHOOSE( CONTROL!$C$15, $D$11, 100%, $F$11)</f>
        <v>23.312100000000001</v>
      </c>
      <c r="H628" s="4">
        <f>24.186 * CHOOSE(CONTROL!$C$15, $D$11, 100%, $F$11)</f>
        <v>24.186</v>
      </c>
      <c r="I628" s="8">
        <f>23.0671 * CHOOSE(CONTROL!$C$15, $D$11, 100%, $F$11)</f>
        <v>23.0671</v>
      </c>
      <c r="J628" s="4">
        <f>22.8923 * CHOOSE(CONTROL!$C$15, $D$11, 100%, $F$11)</f>
        <v>22.892299999999999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60663</v>
      </c>
      <c r="B629" s="8">
        <f>24.7833 * CHOOSE(CONTROL!$C$15, $D$11, 100%, $F$11)</f>
        <v>24.783300000000001</v>
      </c>
      <c r="C629" s="8">
        <f>24.7885 * CHOOSE(CONTROL!$C$15, $D$11, 100%, $F$11)</f>
        <v>24.788499999999999</v>
      </c>
      <c r="D629" s="8">
        <f>24.7709 * CHOOSE( CONTROL!$C$15, $D$11, 100%, $F$11)</f>
        <v>24.770900000000001</v>
      </c>
      <c r="E629" s="12">
        <f>24.7768 * CHOOSE( CONTROL!$C$15, $D$11, 100%, $F$11)</f>
        <v>24.776800000000001</v>
      </c>
      <c r="F629" s="4">
        <f>25.4338 * CHOOSE(CONTROL!$C$15, $D$11, 100%, $F$11)</f>
        <v>25.433800000000002</v>
      </c>
      <c r="G629" s="8">
        <f>24.1921 * CHOOSE( CONTROL!$C$15, $D$11, 100%, $F$11)</f>
        <v>24.1921</v>
      </c>
      <c r="H629" s="4">
        <f>25.076 * CHOOSE(CONTROL!$C$15, $D$11, 100%, $F$11)</f>
        <v>25.076000000000001</v>
      </c>
      <c r="I629" s="8">
        <f>23.9023 * CHOOSE(CONTROL!$C$15, $D$11, 100%, $F$11)</f>
        <v>23.9023</v>
      </c>
      <c r="J629" s="4">
        <f>23.7673 * CHOOSE(CONTROL!$C$15, $D$11, 100%, $F$11)</f>
        <v>23.767299999999999</v>
      </c>
      <c r="K629" s="4"/>
      <c r="L629" s="9">
        <v>29.306000000000001</v>
      </c>
      <c r="M629" s="9">
        <v>12.063700000000001</v>
      </c>
      <c r="N629" s="9">
        <v>4.9444999999999997</v>
      </c>
      <c r="O629" s="9">
        <v>0.37409999999999999</v>
      </c>
      <c r="P629" s="9">
        <v>1.2927</v>
      </c>
      <c r="Q629" s="9">
        <v>19.688099999999999</v>
      </c>
      <c r="R629" s="9"/>
      <c r="S629" s="11"/>
    </row>
    <row r="630" spans="1:19" ht="15.75">
      <c r="A630" s="13">
        <v>60691</v>
      </c>
      <c r="B630" s="8">
        <f>23.1829 * CHOOSE(CONTROL!$C$15, $D$11, 100%, $F$11)</f>
        <v>23.1829</v>
      </c>
      <c r="C630" s="8">
        <f>23.1881 * CHOOSE(CONTROL!$C$15, $D$11, 100%, $F$11)</f>
        <v>23.188099999999999</v>
      </c>
      <c r="D630" s="8">
        <f>23.1705 * CHOOSE( CONTROL!$C$15, $D$11, 100%, $F$11)</f>
        <v>23.170500000000001</v>
      </c>
      <c r="E630" s="12">
        <f>23.1764 * CHOOSE( CONTROL!$C$15, $D$11, 100%, $F$11)</f>
        <v>23.176400000000001</v>
      </c>
      <c r="F630" s="4">
        <f>23.8334 * CHOOSE(CONTROL!$C$15, $D$11, 100%, $F$11)</f>
        <v>23.833400000000001</v>
      </c>
      <c r="G630" s="8">
        <f>22.629 * CHOOSE( CONTROL!$C$15, $D$11, 100%, $F$11)</f>
        <v>22.629000000000001</v>
      </c>
      <c r="H630" s="4">
        <f>23.5129 * CHOOSE(CONTROL!$C$15, $D$11, 100%, $F$11)</f>
        <v>23.512899999999998</v>
      </c>
      <c r="I630" s="8">
        <f>22.3649 * CHOOSE(CONTROL!$C$15, $D$11, 100%, $F$11)</f>
        <v>22.364899999999999</v>
      </c>
      <c r="J630" s="4">
        <f>22.2308 * CHOOSE(CONTROL!$C$15, $D$11, 100%, $F$11)</f>
        <v>22.230799999999999</v>
      </c>
      <c r="K630" s="4"/>
      <c r="L630" s="9">
        <v>26.469899999999999</v>
      </c>
      <c r="M630" s="9">
        <v>10.8962</v>
      </c>
      <c r="N630" s="9">
        <v>4.4660000000000002</v>
      </c>
      <c r="O630" s="9">
        <v>0.33789999999999998</v>
      </c>
      <c r="P630" s="9">
        <v>1.1676</v>
      </c>
      <c r="Q630" s="9">
        <v>17.782800000000002</v>
      </c>
      <c r="R630" s="9"/>
      <c r="S630" s="11"/>
    </row>
    <row r="631" spans="1:19" ht="15.75">
      <c r="A631" s="13">
        <v>60722</v>
      </c>
      <c r="B631" s="8">
        <f>22.69 * CHOOSE(CONTROL!$C$15, $D$11, 100%, $F$11)</f>
        <v>22.69</v>
      </c>
      <c r="C631" s="8">
        <f>22.6952 * CHOOSE(CONTROL!$C$15, $D$11, 100%, $F$11)</f>
        <v>22.6952</v>
      </c>
      <c r="D631" s="8">
        <f>22.6772 * CHOOSE( CONTROL!$C$15, $D$11, 100%, $F$11)</f>
        <v>22.677199999999999</v>
      </c>
      <c r="E631" s="12">
        <f>22.6832 * CHOOSE( CONTROL!$C$15, $D$11, 100%, $F$11)</f>
        <v>22.683199999999999</v>
      </c>
      <c r="F631" s="4">
        <f>23.3405 * CHOOSE(CONTROL!$C$15, $D$11, 100%, $F$11)</f>
        <v>23.340499999999999</v>
      </c>
      <c r="G631" s="8">
        <f>22.1473 * CHOOSE( CONTROL!$C$15, $D$11, 100%, $F$11)</f>
        <v>22.147300000000001</v>
      </c>
      <c r="H631" s="4">
        <f>23.0315 * CHOOSE(CONTROL!$C$15, $D$11, 100%, $F$11)</f>
        <v>23.031500000000001</v>
      </c>
      <c r="I631" s="8">
        <f>21.8902 * CHOOSE(CONTROL!$C$15, $D$11, 100%, $F$11)</f>
        <v>21.8902</v>
      </c>
      <c r="J631" s="4">
        <f>21.7575 * CHOOSE(CONTROL!$C$15, $D$11, 100%, $F$11)</f>
        <v>21.7575</v>
      </c>
      <c r="K631" s="4"/>
      <c r="L631" s="9">
        <v>29.306000000000001</v>
      </c>
      <c r="M631" s="9">
        <v>12.063700000000001</v>
      </c>
      <c r="N631" s="9">
        <v>4.9444999999999997</v>
      </c>
      <c r="O631" s="9">
        <v>0.37409999999999999</v>
      </c>
      <c r="P631" s="9">
        <v>1.2927</v>
      </c>
      <c r="Q631" s="9">
        <v>19.688099999999999</v>
      </c>
      <c r="R631" s="9"/>
      <c r="S631" s="11"/>
    </row>
    <row r="632" spans="1:19" ht="15.75">
      <c r="A632" s="13">
        <v>60752</v>
      </c>
      <c r="B632" s="8">
        <f>23.0352 * CHOOSE(CONTROL!$C$15, $D$11, 100%, $F$11)</f>
        <v>23.0352</v>
      </c>
      <c r="C632" s="8">
        <f>23.0398 * CHOOSE(CONTROL!$C$15, $D$11, 100%, $F$11)</f>
        <v>23.0398</v>
      </c>
      <c r="D632" s="8">
        <f>23.071 * CHOOSE( CONTROL!$C$15, $D$11, 100%, $F$11)</f>
        <v>23.071000000000002</v>
      </c>
      <c r="E632" s="12">
        <f>23.0602 * CHOOSE( CONTROL!$C$15, $D$11, 100%, $F$11)</f>
        <v>23.060199999999998</v>
      </c>
      <c r="F632" s="4">
        <f>23.749 * CHOOSE(CONTROL!$C$15, $D$11, 100%, $F$11)</f>
        <v>23.748999999999999</v>
      </c>
      <c r="G632" s="8">
        <f>22.4845 * CHOOSE( CONTROL!$C$15, $D$11, 100%, $F$11)</f>
        <v>22.484500000000001</v>
      </c>
      <c r="H632" s="4">
        <f>23.4305 * CHOOSE(CONTROL!$C$15, $D$11, 100%, $F$11)</f>
        <v>23.430499999999999</v>
      </c>
      <c r="I632" s="8">
        <f>22.2116 * CHOOSE(CONTROL!$C$15, $D$11, 100%, $F$11)</f>
        <v>22.211600000000001</v>
      </c>
      <c r="J632" s="4">
        <f>22.0882 * CHOOSE(CONTROL!$C$15, $D$11, 100%, $F$11)</f>
        <v>22.088200000000001</v>
      </c>
      <c r="K632" s="4"/>
      <c r="L632" s="9">
        <v>30.092199999999998</v>
      </c>
      <c r="M632" s="9">
        <v>11.6745</v>
      </c>
      <c r="N632" s="9">
        <v>4.7850000000000001</v>
      </c>
      <c r="O632" s="9">
        <v>0.36199999999999999</v>
      </c>
      <c r="P632" s="9">
        <v>1.1791</v>
      </c>
      <c r="Q632" s="9">
        <v>19.053000000000001</v>
      </c>
      <c r="R632" s="9"/>
      <c r="S632" s="11"/>
    </row>
    <row r="633" spans="1:19" ht="15.75">
      <c r="A633" s="13">
        <v>60783</v>
      </c>
      <c r="B633" s="8">
        <f>CHOOSE( CONTROL!$C$32, 23.6552, 23.6496) * CHOOSE(CONTROL!$C$15, $D$11, 100%, $F$11)</f>
        <v>23.655200000000001</v>
      </c>
      <c r="C633" s="8">
        <f>CHOOSE( CONTROL!$C$32, 23.6633, 23.6577) * CHOOSE(CONTROL!$C$15, $D$11, 100%, $F$11)</f>
        <v>23.6633</v>
      </c>
      <c r="D633" s="8">
        <f>CHOOSE( CONTROL!$C$32, 23.6892, 23.6837) * CHOOSE( CONTROL!$C$15, $D$11, 100%, $F$11)</f>
        <v>23.6892</v>
      </c>
      <c r="E633" s="12">
        <f>CHOOSE( CONTROL!$C$32, 23.6786, 23.673) * CHOOSE( CONTROL!$C$15, $D$11, 100%, $F$11)</f>
        <v>23.678599999999999</v>
      </c>
      <c r="F633" s="4">
        <f>CHOOSE( CONTROL!$C$32, 24.3676, 24.362) * CHOOSE(CONTROL!$C$15, $D$11, 100%, $F$11)</f>
        <v>24.367599999999999</v>
      </c>
      <c r="G633" s="8">
        <f>CHOOSE( CONTROL!$C$32, 23.0898, 23.0844) * CHOOSE( CONTROL!$C$15, $D$11, 100%, $F$11)</f>
        <v>23.0898</v>
      </c>
      <c r="H633" s="4">
        <f>CHOOSE( CONTROL!$C$32, 24.0347, 24.0292) * CHOOSE(CONTROL!$C$15, $D$11, 100%, $F$11)</f>
        <v>24.034700000000001</v>
      </c>
      <c r="I633" s="8">
        <f>CHOOSE( CONTROL!$C$32, 22.8057, 22.8004) * CHOOSE(CONTROL!$C$15, $D$11, 100%, $F$11)</f>
        <v>22.805700000000002</v>
      </c>
      <c r="J633" s="4">
        <f>CHOOSE( CONTROL!$C$32, 22.6821, 22.6768) * CHOOSE(CONTROL!$C$15, $D$11, 100%, $F$11)</f>
        <v>22.682099999999998</v>
      </c>
      <c r="K633" s="4"/>
      <c r="L633" s="9">
        <v>30.7165</v>
      </c>
      <c r="M633" s="9">
        <v>12.063700000000001</v>
      </c>
      <c r="N633" s="9">
        <v>4.9444999999999997</v>
      </c>
      <c r="O633" s="9">
        <v>0.37409999999999999</v>
      </c>
      <c r="P633" s="9">
        <v>1.2183999999999999</v>
      </c>
      <c r="Q633" s="9">
        <v>19.688099999999999</v>
      </c>
      <c r="R633" s="9"/>
      <c r="S633" s="11"/>
    </row>
    <row r="634" spans="1:19" ht="15.75">
      <c r="A634" s="13">
        <v>60813</v>
      </c>
      <c r="B634" s="8">
        <f>CHOOSE( CONTROL!$C$32, 23.2754, 23.2699) * CHOOSE(CONTROL!$C$15, $D$11, 100%, $F$11)</f>
        <v>23.275400000000001</v>
      </c>
      <c r="C634" s="8">
        <f>CHOOSE( CONTROL!$C$32, 23.2835, 23.278) * CHOOSE(CONTROL!$C$15, $D$11, 100%, $F$11)</f>
        <v>23.2835</v>
      </c>
      <c r="D634" s="8">
        <f>CHOOSE( CONTROL!$C$32, 23.3097, 23.3041) * CHOOSE( CONTROL!$C$15, $D$11, 100%, $F$11)</f>
        <v>23.309699999999999</v>
      </c>
      <c r="E634" s="12">
        <f>CHOOSE( CONTROL!$C$32, 23.299, 23.2934) * CHOOSE( CONTROL!$C$15, $D$11, 100%, $F$11)</f>
        <v>23.298999999999999</v>
      </c>
      <c r="F634" s="4">
        <f>CHOOSE( CONTROL!$C$32, 23.9878, 23.9823) * CHOOSE(CONTROL!$C$15, $D$11, 100%, $F$11)</f>
        <v>23.9878</v>
      </c>
      <c r="G634" s="8">
        <f>CHOOSE( CONTROL!$C$32, 22.7192, 22.7137) * CHOOSE( CONTROL!$C$15, $D$11, 100%, $F$11)</f>
        <v>22.719200000000001</v>
      </c>
      <c r="H634" s="4">
        <f>CHOOSE( CONTROL!$C$32, 23.6638, 23.6583) * CHOOSE(CONTROL!$C$15, $D$11, 100%, $F$11)</f>
        <v>23.663799999999998</v>
      </c>
      <c r="I634" s="8">
        <f>CHOOSE( CONTROL!$C$32, 22.4418, 22.4364) * CHOOSE(CONTROL!$C$15, $D$11, 100%, $F$11)</f>
        <v>22.441800000000001</v>
      </c>
      <c r="J634" s="4">
        <f>CHOOSE( CONTROL!$C$32, 22.3175, 22.3122) * CHOOSE(CONTROL!$C$15, $D$11, 100%, $F$11)</f>
        <v>22.317499999999999</v>
      </c>
      <c r="K634" s="4"/>
      <c r="L634" s="9">
        <v>29.7257</v>
      </c>
      <c r="M634" s="9">
        <v>11.6745</v>
      </c>
      <c r="N634" s="9">
        <v>4.7850000000000001</v>
      </c>
      <c r="O634" s="9">
        <v>0.36199999999999999</v>
      </c>
      <c r="P634" s="9">
        <v>1.1791</v>
      </c>
      <c r="Q634" s="9">
        <v>19.053000000000001</v>
      </c>
      <c r="R634" s="9"/>
      <c r="S634" s="11"/>
    </row>
    <row r="635" spans="1:19" ht="15.75">
      <c r="A635" s="13">
        <v>60844</v>
      </c>
      <c r="B635" s="8">
        <f>CHOOSE( CONTROL!$C$32, 24.2754, 24.2699) * CHOOSE(CONTROL!$C$15, $D$11, 100%, $F$11)</f>
        <v>24.275400000000001</v>
      </c>
      <c r="C635" s="8">
        <f>CHOOSE( CONTROL!$C$32, 24.2835, 24.278) * CHOOSE(CONTROL!$C$15, $D$11, 100%, $F$11)</f>
        <v>24.2835</v>
      </c>
      <c r="D635" s="8">
        <f>CHOOSE( CONTROL!$C$32, 24.3099, 24.3043) * CHOOSE( CONTROL!$C$15, $D$11, 100%, $F$11)</f>
        <v>24.309899999999999</v>
      </c>
      <c r="E635" s="12">
        <f>CHOOSE( CONTROL!$C$32, 24.2991, 24.2935) * CHOOSE( CONTROL!$C$15, $D$11, 100%, $F$11)</f>
        <v>24.299099999999999</v>
      </c>
      <c r="F635" s="4">
        <f>CHOOSE( CONTROL!$C$32, 24.9878, 24.9823) * CHOOSE(CONTROL!$C$15, $D$11, 100%, $F$11)</f>
        <v>24.9878</v>
      </c>
      <c r="G635" s="8">
        <f>CHOOSE( CONTROL!$C$32, 23.6962, 23.6907) * CHOOSE( CONTROL!$C$15, $D$11, 100%, $F$11)</f>
        <v>23.696200000000001</v>
      </c>
      <c r="H635" s="4">
        <f>CHOOSE( CONTROL!$C$32, 24.6405, 24.635) * CHOOSE(CONTROL!$C$15, $D$11, 100%, $F$11)</f>
        <v>24.640499999999999</v>
      </c>
      <c r="I635" s="8">
        <f>CHOOSE( CONTROL!$C$32, 23.4033, 23.3979) * CHOOSE(CONTROL!$C$15, $D$11, 100%, $F$11)</f>
        <v>23.403300000000002</v>
      </c>
      <c r="J635" s="4">
        <f>CHOOSE( CONTROL!$C$32, 23.2776, 23.2723) * CHOOSE(CONTROL!$C$15, $D$11, 100%, $F$11)</f>
        <v>23.2776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1.2183999999999999</v>
      </c>
      <c r="Q635" s="9">
        <v>19.688099999999999</v>
      </c>
      <c r="R635" s="9"/>
      <c r="S635" s="11"/>
    </row>
    <row r="636" spans="1:19" ht="15.75">
      <c r="A636" s="13">
        <v>60875</v>
      </c>
      <c r="B636" s="8">
        <f>CHOOSE( CONTROL!$C$32, 22.4043, 22.3988) * CHOOSE(CONTROL!$C$15, $D$11, 100%, $F$11)</f>
        <v>22.404299999999999</v>
      </c>
      <c r="C636" s="8">
        <f>CHOOSE( CONTROL!$C$32, 22.4124, 22.4068) * CHOOSE(CONTROL!$C$15, $D$11, 100%, $F$11)</f>
        <v>22.412400000000002</v>
      </c>
      <c r="D636" s="8">
        <f>CHOOSE( CONTROL!$C$32, 22.4388, 22.4332) * CHOOSE( CONTROL!$C$15, $D$11, 100%, $F$11)</f>
        <v>22.438800000000001</v>
      </c>
      <c r="E636" s="12">
        <f>CHOOSE( CONTROL!$C$32, 22.428, 22.4224) * CHOOSE( CONTROL!$C$15, $D$11, 100%, $F$11)</f>
        <v>22.428000000000001</v>
      </c>
      <c r="F636" s="4">
        <f>CHOOSE( CONTROL!$C$32, 23.1167, 23.1112) * CHOOSE(CONTROL!$C$15, $D$11, 100%, $F$11)</f>
        <v>23.116700000000002</v>
      </c>
      <c r="G636" s="8">
        <f>CHOOSE( CONTROL!$C$32, 21.8687, 21.8633) * CHOOSE( CONTROL!$C$15, $D$11, 100%, $F$11)</f>
        <v>21.8687</v>
      </c>
      <c r="H636" s="4">
        <f>CHOOSE( CONTROL!$C$32, 22.813, 22.8075) * CHOOSE(CONTROL!$C$15, $D$11, 100%, $F$11)</f>
        <v>22.812999999999999</v>
      </c>
      <c r="I636" s="8">
        <f>CHOOSE( CONTROL!$C$32, 21.6062, 21.6009) * CHOOSE(CONTROL!$C$15, $D$11, 100%, $F$11)</f>
        <v>21.606200000000001</v>
      </c>
      <c r="J636" s="4">
        <f>CHOOSE( CONTROL!$C$32, 21.4812, 21.4758) * CHOOSE(CONTROL!$C$15, $D$11, 100%, $F$11)</f>
        <v>21.481200000000001</v>
      </c>
      <c r="K636" s="4"/>
      <c r="L636" s="9">
        <v>30.7165</v>
      </c>
      <c r="M636" s="9">
        <v>12.063700000000001</v>
      </c>
      <c r="N636" s="9">
        <v>4.9444999999999997</v>
      </c>
      <c r="O636" s="9">
        <v>0.37409999999999999</v>
      </c>
      <c r="P636" s="9">
        <v>1.2183999999999999</v>
      </c>
      <c r="Q636" s="9">
        <v>19.688099999999999</v>
      </c>
      <c r="R636" s="9"/>
      <c r="S636" s="11"/>
    </row>
    <row r="637" spans="1:19" ht="15.75">
      <c r="A637" s="13">
        <v>60905</v>
      </c>
      <c r="B637" s="8">
        <f>CHOOSE( CONTROL!$C$32, 21.9358, 21.9302) * CHOOSE(CONTROL!$C$15, $D$11, 100%, $F$11)</f>
        <v>21.9358</v>
      </c>
      <c r="C637" s="8">
        <f>CHOOSE( CONTROL!$C$32, 21.9439, 21.9383) * CHOOSE(CONTROL!$C$15, $D$11, 100%, $F$11)</f>
        <v>21.943899999999999</v>
      </c>
      <c r="D637" s="8">
        <f>CHOOSE( CONTROL!$C$32, 21.9702, 21.9646) * CHOOSE( CONTROL!$C$15, $D$11, 100%, $F$11)</f>
        <v>21.970199999999998</v>
      </c>
      <c r="E637" s="12">
        <f>CHOOSE( CONTROL!$C$32, 21.9594, 21.9538) * CHOOSE( CONTROL!$C$15, $D$11, 100%, $F$11)</f>
        <v>21.959399999999999</v>
      </c>
      <c r="F637" s="4">
        <f>CHOOSE( CONTROL!$C$32, 22.6482, 22.6426) * CHOOSE(CONTROL!$C$15, $D$11, 100%, $F$11)</f>
        <v>22.648199999999999</v>
      </c>
      <c r="G637" s="8">
        <f>CHOOSE( CONTROL!$C$32, 21.411, 21.4056) * CHOOSE( CONTROL!$C$15, $D$11, 100%, $F$11)</f>
        <v>21.411000000000001</v>
      </c>
      <c r="H637" s="4">
        <f>CHOOSE( CONTROL!$C$32, 22.3553, 22.3499) * CHOOSE(CONTROL!$C$15, $D$11, 100%, $F$11)</f>
        <v>22.3553</v>
      </c>
      <c r="I637" s="8">
        <f>CHOOSE( CONTROL!$C$32, 21.1559, 21.1506) * CHOOSE(CONTROL!$C$15, $D$11, 100%, $F$11)</f>
        <v>21.155899999999999</v>
      </c>
      <c r="J637" s="4">
        <f>CHOOSE( CONTROL!$C$32, 21.0313, 21.026) * CHOOSE(CONTROL!$C$15, $D$11, 100%, $F$11)</f>
        <v>21.031300000000002</v>
      </c>
      <c r="K637" s="4"/>
      <c r="L637" s="9">
        <v>29.7257</v>
      </c>
      <c r="M637" s="9">
        <v>11.6745</v>
      </c>
      <c r="N637" s="9">
        <v>4.7850000000000001</v>
      </c>
      <c r="O637" s="9">
        <v>0.36199999999999999</v>
      </c>
      <c r="P637" s="9">
        <v>1.1791</v>
      </c>
      <c r="Q637" s="9">
        <v>19.053000000000001</v>
      </c>
      <c r="R637" s="9"/>
      <c r="S637" s="11"/>
    </row>
    <row r="638" spans="1:19" ht="15.75">
      <c r="A638" s="13">
        <v>60936</v>
      </c>
      <c r="B638" s="8">
        <f>22.9014 * CHOOSE(CONTROL!$C$15, $D$11, 100%, $F$11)</f>
        <v>22.901399999999999</v>
      </c>
      <c r="C638" s="8">
        <f>22.9068 * CHOOSE(CONTROL!$C$15, $D$11, 100%, $F$11)</f>
        <v>22.9068</v>
      </c>
      <c r="D638" s="8">
        <f>22.938 * CHOOSE( CONTROL!$C$15, $D$11, 100%, $F$11)</f>
        <v>22.937999999999999</v>
      </c>
      <c r="E638" s="12">
        <f>22.9271 * CHOOSE( CONTROL!$C$15, $D$11, 100%, $F$11)</f>
        <v>22.927099999999999</v>
      </c>
      <c r="F638" s="4">
        <f>23.6155 * CHOOSE(CONTROL!$C$15, $D$11, 100%, $F$11)</f>
        <v>23.615500000000001</v>
      </c>
      <c r="G638" s="8">
        <f>22.3549 * CHOOSE( CONTROL!$C$15, $D$11, 100%, $F$11)</f>
        <v>22.354900000000001</v>
      </c>
      <c r="H638" s="4">
        <f>23.3001 * CHOOSE(CONTROL!$C$15, $D$11, 100%, $F$11)</f>
        <v>23.3001</v>
      </c>
      <c r="I638" s="8">
        <f>22.086 * CHOOSE(CONTROL!$C$15, $D$11, 100%, $F$11)</f>
        <v>22.085999999999999</v>
      </c>
      <c r="J638" s="4">
        <f>21.96 * CHOOSE(CONTROL!$C$15, $D$11, 100%, $F$11)</f>
        <v>21.96</v>
      </c>
      <c r="K638" s="4"/>
      <c r="L638" s="9">
        <v>31.095300000000002</v>
      </c>
      <c r="M638" s="9">
        <v>12.063700000000001</v>
      </c>
      <c r="N638" s="9">
        <v>4.9444999999999997</v>
      </c>
      <c r="O638" s="9">
        <v>0.37409999999999999</v>
      </c>
      <c r="P638" s="9">
        <v>1.2183999999999999</v>
      </c>
      <c r="Q638" s="9">
        <v>19.688099999999999</v>
      </c>
      <c r="R638" s="9"/>
      <c r="S638" s="11"/>
    </row>
    <row r="639" spans="1:19" ht="15.75">
      <c r="A639" s="13">
        <v>60966</v>
      </c>
      <c r="B639" s="8">
        <f>24.6967 * CHOOSE(CONTROL!$C$15, $D$11, 100%, $F$11)</f>
        <v>24.6967</v>
      </c>
      <c r="C639" s="8">
        <f>24.7018 * CHOOSE(CONTROL!$C$15, $D$11, 100%, $F$11)</f>
        <v>24.701799999999999</v>
      </c>
      <c r="D639" s="8">
        <f>24.6881 * CHOOSE( CONTROL!$C$15, $D$11, 100%, $F$11)</f>
        <v>24.688099999999999</v>
      </c>
      <c r="E639" s="12">
        <f>24.6926 * CHOOSE( CONTROL!$C$15, $D$11, 100%, $F$11)</f>
        <v>24.692599999999999</v>
      </c>
      <c r="F639" s="4">
        <f>25.3471 * CHOOSE(CONTROL!$C$15, $D$11, 100%, $F$11)</f>
        <v>25.347100000000001</v>
      </c>
      <c r="G639" s="8">
        <f>24.1164 * CHOOSE( CONTROL!$C$15, $D$11, 100%, $F$11)</f>
        <v>24.116399999999999</v>
      </c>
      <c r="H639" s="4">
        <f>24.9914 * CHOOSE(CONTROL!$C$15, $D$11, 100%, $F$11)</f>
        <v>24.991399999999999</v>
      </c>
      <c r="I639" s="8">
        <f>23.8545 * CHOOSE(CONTROL!$C$15, $D$11, 100%, $F$11)</f>
        <v>23.854500000000002</v>
      </c>
      <c r="J639" s="4">
        <f>23.6841 * CHOOSE(CONTROL!$C$15, $D$11, 100%, $F$11)</f>
        <v>23.684100000000001</v>
      </c>
      <c r="K639" s="4"/>
      <c r="L639" s="9">
        <v>28.360600000000002</v>
      </c>
      <c r="M639" s="9">
        <v>11.6745</v>
      </c>
      <c r="N639" s="9">
        <v>4.7850000000000001</v>
      </c>
      <c r="O639" s="9">
        <v>0.36199999999999999</v>
      </c>
      <c r="P639" s="9">
        <v>1.2509999999999999</v>
      </c>
      <c r="Q639" s="9">
        <v>19.053000000000001</v>
      </c>
      <c r="R639" s="9"/>
      <c r="S639" s="11"/>
    </row>
    <row r="640" spans="1:19" ht="15.75">
      <c r="A640" s="13">
        <v>60997</v>
      </c>
      <c r="B640" s="8">
        <f>24.6518 * CHOOSE(CONTROL!$C$15, $D$11, 100%, $F$11)</f>
        <v>24.651800000000001</v>
      </c>
      <c r="C640" s="8">
        <f>24.657 * CHOOSE(CONTROL!$C$15, $D$11, 100%, $F$11)</f>
        <v>24.657</v>
      </c>
      <c r="D640" s="8">
        <f>24.6447 * CHOOSE( CONTROL!$C$15, $D$11, 100%, $F$11)</f>
        <v>24.6447</v>
      </c>
      <c r="E640" s="12">
        <f>24.6486 * CHOOSE( CONTROL!$C$15, $D$11, 100%, $F$11)</f>
        <v>24.648599999999998</v>
      </c>
      <c r="F640" s="4">
        <f>25.3023 * CHOOSE(CONTROL!$C$15, $D$11, 100%, $F$11)</f>
        <v>25.302299999999999</v>
      </c>
      <c r="G640" s="8">
        <f>24.0737 * CHOOSE( CONTROL!$C$15, $D$11, 100%, $F$11)</f>
        <v>24.073699999999999</v>
      </c>
      <c r="H640" s="4">
        <f>24.9476 * CHOOSE(CONTROL!$C$15, $D$11, 100%, $F$11)</f>
        <v>24.947600000000001</v>
      </c>
      <c r="I640" s="8">
        <f>23.8162 * CHOOSE(CONTROL!$C$15, $D$11, 100%, $F$11)</f>
        <v>23.816199999999998</v>
      </c>
      <c r="J640" s="4">
        <f>23.641 * CHOOSE(CONTROL!$C$15, $D$11, 100%, $F$11)</f>
        <v>23.640999999999998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61028</v>
      </c>
      <c r="B641" s="8">
        <f>25.5929 * CHOOSE(CONTROL!$C$15, $D$11, 100%, $F$11)</f>
        <v>25.5929</v>
      </c>
      <c r="C641" s="8">
        <f>25.5981 * CHOOSE(CONTROL!$C$15, $D$11, 100%, $F$11)</f>
        <v>25.598099999999999</v>
      </c>
      <c r="D641" s="8">
        <f>25.5805 * CHOOSE( CONTROL!$C$15, $D$11, 100%, $F$11)</f>
        <v>25.580500000000001</v>
      </c>
      <c r="E641" s="12">
        <f>25.5864 * CHOOSE( CONTROL!$C$15, $D$11, 100%, $F$11)</f>
        <v>25.586400000000001</v>
      </c>
      <c r="F641" s="4">
        <f>26.2434 * CHOOSE(CONTROL!$C$15, $D$11, 100%, $F$11)</f>
        <v>26.243400000000001</v>
      </c>
      <c r="G641" s="8">
        <f>24.9828 * CHOOSE( CONTROL!$C$15, $D$11, 100%, $F$11)</f>
        <v>24.982800000000001</v>
      </c>
      <c r="H641" s="4">
        <f>25.8667 * CHOOSE(CONTROL!$C$15, $D$11, 100%, $F$11)</f>
        <v>25.866700000000002</v>
      </c>
      <c r="I641" s="8">
        <f>24.68 * CHOOSE(CONTROL!$C$15, $D$11, 100%, $F$11)</f>
        <v>24.68</v>
      </c>
      <c r="J641" s="4">
        <f>24.5446 * CHOOSE(CONTROL!$C$15, $D$11, 100%, $F$11)</f>
        <v>24.544599999999999</v>
      </c>
      <c r="K641" s="4"/>
      <c r="L641" s="9">
        <v>29.306000000000001</v>
      </c>
      <c r="M641" s="9">
        <v>12.063700000000001</v>
      </c>
      <c r="N641" s="9">
        <v>4.9444999999999997</v>
      </c>
      <c r="O641" s="9">
        <v>0.37409999999999999</v>
      </c>
      <c r="P641" s="9">
        <v>1.2927</v>
      </c>
      <c r="Q641" s="9">
        <v>19.688099999999999</v>
      </c>
      <c r="R641" s="9"/>
      <c r="S641" s="11"/>
    </row>
    <row r="642" spans="1:19" ht="15.75">
      <c r="A642" s="13">
        <v>61056</v>
      </c>
      <c r="B642" s="8">
        <f>23.9402 * CHOOSE(CONTROL!$C$15, $D$11, 100%, $F$11)</f>
        <v>23.940200000000001</v>
      </c>
      <c r="C642" s="8">
        <f>23.9454 * CHOOSE(CONTROL!$C$15, $D$11, 100%, $F$11)</f>
        <v>23.945399999999999</v>
      </c>
      <c r="D642" s="8">
        <f>23.9277 * CHOOSE( CONTROL!$C$15, $D$11, 100%, $F$11)</f>
        <v>23.927700000000002</v>
      </c>
      <c r="E642" s="12">
        <f>23.9336 * CHOOSE( CONTROL!$C$15, $D$11, 100%, $F$11)</f>
        <v>23.933599999999998</v>
      </c>
      <c r="F642" s="4">
        <f>24.5906 * CHOOSE(CONTROL!$C$15, $D$11, 100%, $F$11)</f>
        <v>24.590599999999998</v>
      </c>
      <c r="G642" s="8">
        <f>23.3686 * CHOOSE( CONTROL!$C$15, $D$11, 100%, $F$11)</f>
        <v>23.368600000000001</v>
      </c>
      <c r="H642" s="4">
        <f>24.2525 * CHOOSE(CONTROL!$C$15, $D$11, 100%, $F$11)</f>
        <v>24.252500000000001</v>
      </c>
      <c r="I642" s="8">
        <f>23.0923 * CHOOSE(CONTROL!$C$15, $D$11, 100%, $F$11)</f>
        <v>23.092300000000002</v>
      </c>
      <c r="J642" s="4">
        <f>22.9578 * CHOOSE(CONTROL!$C$15, $D$11, 100%, $F$11)</f>
        <v>22.957799999999999</v>
      </c>
      <c r="K642" s="4"/>
      <c r="L642" s="9">
        <v>26.469899999999999</v>
      </c>
      <c r="M642" s="9">
        <v>10.8962</v>
      </c>
      <c r="N642" s="9">
        <v>4.4660000000000002</v>
      </c>
      <c r="O642" s="9">
        <v>0.33789999999999998</v>
      </c>
      <c r="P642" s="9">
        <v>1.1676</v>
      </c>
      <c r="Q642" s="9">
        <v>17.782800000000002</v>
      </c>
      <c r="R642" s="9"/>
      <c r="S642" s="11"/>
    </row>
    <row r="643" spans="1:19" ht="15.75">
      <c r="A643" s="13">
        <v>61087</v>
      </c>
      <c r="B643" s="8">
        <f>23.4312 * CHOOSE(CONTROL!$C$15, $D$11, 100%, $F$11)</f>
        <v>23.4312</v>
      </c>
      <c r="C643" s="8">
        <f>23.4363 * CHOOSE(CONTROL!$C$15, $D$11, 100%, $F$11)</f>
        <v>23.436299999999999</v>
      </c>
      <c r="D643" s="8">
        <f>23.4183 * CHOOSE( CONTROL!$C$15, $D$11, 100%, $F$11)</f>
        <v>23.418299999999999</v>
      </c>
      <c r="E643" s="12">
        <f>23.4243 * CHOOSE( CONTROL!$C$15, $D$11, 100%, $F$11)</f>
        <v>23.424299999999999</v>
      </c>
      <c r="F643" s="4">
        <f>24.0816 * CHOOSE(CONTROL!$C$15, $D$11, 100%, $F$11)</f>
        <v>24.081600000000002</v>
      </c>
      <c r="G643" s="8">
        <f>22.8711 * CHOOSE( CONTROL!$C$15, $D$11, 100%, $F$11)</f>
        <v>22.871099999999998</v>
      </c>
      <c r="H643" s="4">
        <f>23.7554 * CHOOSE(CONTROL!$C$15, $D$11, 100%, $F$11)</f>
        <v>23.755400000000002</v>
      </c>
      <c r="I643" s="8">
        <f>22.6021 * CHOOSE(CONTROL!$C$15, $D$11, 100%, $F$11)</f>
        <v>22.6021</v>
      </c>
      <c r="J643" s="4">
        <f>22.4691 * CHOOSE(CONTROL!$C$15, $D$11, 100%, $F$11)</f>
        <v>22.469100000000001</v>
      </c>
      <c r="K643" s="4"/>
      <c r="L643" s="9">
        <v>29.306000000000001</v>
      </c>
      <c r="M643" s="9">
        <v>12.063700000000001</v>
      </c>
      <c r="N643" s="9">
        <v>4.9444999999999997</v>
      </c>
      <c r="O643" s="9">
        <v>0.37409999999999999</v>
      </c>
      <c r="P643" s="9">
        <v>1.2927</v>
      </c>
      <c r="Q643" s="9">
        <v>19.688099999999999</v>
      </c>
      <c r="R643" s="9"/>
      <c r="S643" s="11"/>
    </row>
    <row r="644" spans="1:19" ht="15.75">
      <c r="A644" s="13">
        <v>61117</v>
      </c>
      <c r="B644" s="8">
        <f>23.7876 * CHOOSE(CONTROL!$C$15, $D$11, 100%, $F$11)</f>
        <v>23.787600000000001</v>
      </c>
      <c r="C644" s="8">
        <f>23.7922 * CHOOSE(CONTROL!$C$15, $D$11, 100%, $F$11)</f>
        <v>23.792200000000001</v>
      </c>
      <c r="D644" s="8">
        <f>23.8234 * CHOOSE( CONTROL!$C$15, $D$11, 100%, $F$11)</f>
        <v>23.823399999999999</v>
      </c>
      <c r="E644" s="12">
        <f>23.8126 * CHOOSE( CONTROL!$C$15, $D$11, 100%, $F$11)</f>
        <v>23.8126</v>
      </c>
      <c r="F644" s="4">
        <f>24.5014 * CHOOSE(CONTROL!$C$15, $D$11, 100%, $F$11)</f>
        <v>24.5014</v>
      </c>
      <c r="G644" s="8">
        <f>23.2194 * CHOOSE( CONTROL!$C$15, $D$11, 100%, $F$11)</f>
        <v>23.2194</v>
      </c>
      <c r="H644" s="4">
        <f>24.1653 * CHOOSE(CONTROL!$C$15, $D$11, 100%, $F$11)</f>
        <v>24.165299999999998</v>
      </c>
      <c r="I644" s="8">
        <f>22.9343 * CHOOSE(CONTROL!$C$15, $D$11, 100%, $F$11)</f>
        <v>22.9343</v>
      </c>
      <c r="J644" s="4">
        <f>22.8106 * CHOOSE(CONTROL!$C$15, $D$11, 100%, $F$11)</f>
        <v>22.810600000000001</v>
      </c>
      <c r="K644" s="4"/>
      <c r="L644" s="9">
        <v>30.092199999999998</v>
      </c>
      <c r="M644" s="9">
        <v>11.6745</v>
      </c>
      <c r="N644" s="9">
        <v>4.7850000000000001</v>
      </c>
      <c r="O644" s="9">
        <v>0.36199999999999999</v>
      </c>
      <c r="P644" s="9">
        <v>1.1791</v>
      </c>
      <c r="Q644" s="9">
        <v>19.053000000000001</v>
      </c>
      <c r="R644" s="9"/>
      <c r="S644" s="11"/>
    </row>
    <row r="645" spans="1:19" ht="15.75">
      <c r="A645" s="13">
        <v>61148</v>
      </c>
      <c r="B645" s="8">
        <f>CHOOSE( CONTROL!$C$32, 24.4276, 24.422) * CHOOSE(CONTROL!$C$15, $D$11, 100%, $F$11)</f>
        <v>24.427600000000002</v>
      </c>
      <c r="C645" s="8">
        <f>CHOOSE( CONTROL!$C$32, 24.4357, 24.4301) * CHOOSE(CONTROL!$C$15, $D$11, 100%, $F$11)</f>
        <v>24.435700000000001</v>
      </c>
      <c r="D645" s="8">
        <f>CHOOSE( CONTROL!$C$32, 24.4617, 24.4561) * CHOOSE( CONTROL!$C$15, $D$11, 100%, $F$11)</f>
        <v>24.4617</v>
      </c>
      <c r="E645" s="12">
        <f>CHOOSE( CONTROL!$C$32, 24.451, 24.4454) * CHOOSE( CONTROL!$C$15, $D$11, 100%, $F$11)</f>
        <v>24.451000000000001</v>
      </c>
      <c r="F645" s="4">
        <f>CHOOSE( CONTROL!$C$32, 25.14, 25.1344) * CHOOSE(CONTROL!$C$15, $D$11, 100%, $F$11)</f>
        <v>25.14</v>
      </c>
      <c r="G645" s="8">
        <f>CHOOSE( CONTROL!$C$32, 23.8442, 23.8388) * CHOOSE( CONTROL!$C$15, $D$11, 100%, $F$11)</f>
        <v>23.844200000000001</v>
      </c>
      <c r="H645" s="4">
        <f>CHOOSE( CONTROL!$C$32, 24.7891, 24.7837) * CHOOSE(CONTROL!$C$15, $D$11, 100%, $F$11)</f>
        <v>24.789100000000001</v>
      </c>
      <c r="I645" s="8">
        <f>CHOOSE( CONTROL!$C$32, 23.5477, 23.5424) * CHOOSE(CONTROL!$C$15, $D$11, 100%, $F$11)</f>
        <v>23.547699999999999</v>
      </c>
      <c r="J645" s="4">
        <f>CHOOSE( CONTROL!$C$32, 23.4237, 23.4184) * CHOOSE(CONTROL!$C$15, $D$11, 100%, $F$11)</f>
        <v>23.4237</v>
      </c>
      <c r="K645" s="4"/>
      <c r="L645" s="9">
        <v>30.7165</v>
      </c>
      <c r="M645" s="9">
        <v>12.063700000000001</v>
      </c>
      <c r="N645" s="9">
        <v>4.9444999999999997</v>
      </c>
      <c r="O645" s="9">
        <v>0.37409999999999999</v>
      </c>
      <c r="P645" s="9">
        <v>1.2183999999999999</v>
      </c>
      <c r="Q645" s="9">
        <v>19.688099999999999</v>
      </c>
      <c r="R645" s="9"/>
      <c r="S645" s="11"/>
    </row>
    <row r="646" spans="1:19" ht="15.75">
      <c r="A646" s="13">
        <v>61178</v>
      </c>
      <c r="B646" s="8">
        <f>CHOOSE( CONTROL!$C$32, 24.0355, 24.0299) * CHOOSE(CONTROL!$C$15, $D$11, 100%, $F$11)</f>
        <v>24.035499999999999</v>
      </c>
      <c r="C646" s="8">
        <f>CHOOSE( CONTROL!$C$32, 24.0435, 24.038) * CHOOSE(CONTROL!$C$15, $D$11, 100%, $F$11)</f>
        <v>24.043500000000002</v>
      </c>
      <c r="D646" s="8">
        <f>CHOOSE( CONTROL!$C$32, 24.0697, 24.0641) * CHOOSE( CONTROL!$C$15, $D$11, 100%, $F$11)</f>
        <v>24.069700000000001</v>
      </c>
      <c r="E646" s="12">
        <f>CHOOSE( CONTROL!$C$32, 24.059, 24.0534) * CHOOSE( CONTROL!$C$15, $D$11, 100%, $F$11)</f>
        <v>24.059000000000001</v>
      </c>
      <c r="F646" s="4">
        <f>CHOOSE( CONTROL!$C$32, 24.7478, 24.7423) * CHOOSE(CONTROL!$C$15, $D$11, 100%, $F$11)</f>
        <v>24.747800000000002</v>
      </c>
      <c r="G646" s="8">
        <f>CHOOSE( CONTROL!$C$32, 23.4615, 23.456) * CHOOSE( CONTROL!$C$15, $D$11, 100%, $F$11)</f>
        <v>23.461500000000001</v>
      </c>
      <c r="H646" s="4">
        <f>CHOOSE( CONTROL!$C$32, 24.4061, 24.4006) * CHOOSE(CONTROL!$C$15, $D$11, 100%, $F$11)</f>
        <v>24.406099999999999</v>
      </c>
      <c r="I646" s="8">
        <f>CHOOSE( CONTROL!$C$32, 23.1718, 23.1665) * CHOOSE(CONTROL!$C$15, $D$11, 100%, $F$11)</f>
        <v>23.171800000000001</v>
      </c>
      <c r="J646" s="4">
        <f>CHOOSE( CONTROL!$C$32, 23.0472, 23.0419) * CHOOSE(CONTROL!$C$15, $D$11, 100%, $F$11)</f>
        <v>23.0472</v>
      </c>
      <c r="K646" s="4"/>
      <c r="L646" s="9">
        <v>29.7257</v>
      </c>
      <c r="M646" s="9">
        <v>11.6745</v>
      </c>
      <c r="N646" s="9">
        <v>4.7850000000000001</v>
      </c>
      <c r="O646" s="9">
        <v>0.36199999999999999</v>
      </c>
      <c r="P646" s="9">
        <v>1.1791</v>
      </c>
      <c r="Q646" s="9">
        <v>19.053000000000001</v>
      </c>
      <c r="R646" s="9"/>
      <c r="S646" s="11"/>
    </row>
    <row r="647" spans="1:19" ht="15.75">
      <c r="A647" s="13">
        <v>61209</v>
      </c>
      <c r="B647" s="8">
        <f>CHOOSE( CONTROL!$C$32, 25.0682, 25.0626) * CHOOSE(CONTROL!$C$15, $D$11, 100%, $F$11)</f>
        <v>25.068200000000001</v>
      </c>
      <c r="C647" s="8">
        <f>CHOOSE( CONTROL!$C$32, 25.0762, 25.0707) * CHOOSE(CONTROL!$C$15, $D$11, 100%, $F$11)</f>
        <v>25.0762</v>
      </c>
      <c r="D647" s="8">
        <f>CHOOSE( CONTROL!$C$32, 25.1026, 25.097) * CHOOSE( CONTROL!$C$15, $D$11, 100%, $F$11)</f>
        <v>25.102599999999999</v>
      </c>
      <c r="E647" s="12">
        <f>CHOOSE( CONTROL!$C$32, 25.0918, 25.0862) * CHOOSE( CONTROL!$C$15, $D$11, 100%, $F$11)</f>
        <v>25.091799999999999</v>
      </c>
      <c r="F647" s="4">
        <f>CHOOSE( CONTROL!$C$32, 25.7805, 25.775) * CHOOSE(CONTROL!$C$15, $D$11, 100%, $F$11)</f>
        <v>25.7805</v>
      </c>
      <c r="G647" s="8">
        <f>CHOOSE( CONTROL!$C$32, 24.4704, 24.465) * CHOOSE( CONTROL!$C$15, $D$11, 100%, $F$11)</f>
        <v>24.470400000000001</v>
      </c>
      <c r="H647" s="4">
        <f>CHOOSE( CONTROL!$C$32, 25.4147, 25.4093) * CHOOSE(CONTROL!$C$15, $D$11, 100%, $F$11)</f>
        <v>25.4147</v>
      </c>
      <c r="I647" s="8">
        <f>CHOOSE( CONTROL!$C$32, 24.1648, 24.1594) * CHOOSE(CONTROL!$C$15, $D$11, 100%, $F$11)</f>
        <v>24.1648</v>
      </c>
      <c r="J647" s="4">
        <f>CHOOSE( CONTROL!$C$32, 24.0387, 24.0334) * CHOOSE(CONTROL!$C$15, $D$11, 100%, $F$11)</f>
        <v>24.038699999999999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1.2183999999999999</v>
      </c>
      <c r="Q647" s="9">
        <v>19.688099999999999</v>
      </c>
      <c r="R647" s="9"/>
      <c r="S647" s="11"/>
    </row>
    <row r="648" spans="1:19" ht="15.75">
      <c r="A648" s="13">
        <v>61240</v>
      </c>
      <c r="B648" s="8">
        <f>CHOOSE( CONTROL!$C$32, 23.1359, 23.1303) * CHOOSE(CONTROL!$C$15, $D$11, 100%, $F$11)</f>
        <v>23.135899999999999</v>
      </c>
      <c r="C648" s="8">
        <f>CHOOSE( CONTROL!$C$32, 23.1439, 23.1384) * CHOOSE(CONTROL!$C$15, $D$11, 100%, $F$11)</f>
        <v>23.143899999999999</v>
      </c>
      <c r="D648" s="8">
        <f>CHOOSE( CONTROL!$C$32, 23.1703, 23.1648) * CHOOSE( CONTROL!$C$15, $D$11, 100%, $F$11)</f>
        <v>23.170300000000001</v>
      </c>
      <c r="E648" s="12">
        <f>CHOOSE( CONTROL!$C$32, 23.1595, 23.154) * CHOOSE( CONTROL!$C$15, $D$11, 100%, $F$11)</f>
        <v>23.159500000000001</v>
      </c>
      <c r="F648" s="4">
        <f>CHOOSE( CONTROL!$C$32, 23.8482, 23.8427) * CHOOSE(CONTROL!$C$15, $D$11, 100%, $F$11)</f>
        <v>23.848199999999999</v>
      </c>
      <c r="G648" s="8">
        <f>CHOOSE( CONTROL!$C$32, 22.5832, 22.5778) * CHOOSE( CONTROL!$C$15, $D$11, 100%, $F$11)</f>
        <v>22.583200000000001</v>
      </c>
      <c r="H648" s="4">
        <f>CHOOSE( CONTROL!$C$32, 23.5274, 23.522) * CHOOSE(CONTROL!$C$15, $D$11, 100%, $F$11)</f>
        <v>23.5274</v>
      </c>
      <c r="I648" s="8">
        <f>CHOOSE( CONTROL!$C$32, 22.3089, 22.3036) * CHOOSE(CONTROL!$C$15, $D$11, 100%, $F$11)</f>
        <v>22.308900000000001</v>
      </c>
      <c r="J648" s="4">
        <f>CHOOSE( CONTROL!$C$32, 22.1835, 22.1782) * CHOOSE(CONTROL!$C$15, $D$11, 100%, $F$11)</f>
        <v>22.183499999999999</v>
      </c>
      <c r="K648" s="4"/>
      <c r="L648" s="9">
        <v>30.7165</v>
      </c>
      <c r="M648" s="9">
        <v>12.063700000000001</v>
      </c>
      <c r="N648" s="9">
        <v>4.9444999999999997</v>
      </c>
      <c r="O648" s="9">
        <v>0.37409999999999999</v>
      </c>
      <c r="P648" s="9">
        <v>1.2183999999999999</v>
      </c>
      <c r="Q648" s="9">
        <v>19.688099999999999</v>
      </c>
      <c r="R648" s="9"/>
      <c r="S648" s="11"/>
    </row>
    <row r="649" spans="1:19" ht="15.75">
      <c r="A649" s="13">
        <v>61270</v>
      </c>
      <c r="B649" s="8">
        <f>CHOOSE( CONTROL!$C$32, 22.652, 22.6464) * CHOOSE(CONTROL!$C$15, $D$11, 100%, $F$11)</f>
        <v>22.652000000000001</v>
      </c>
      <c r="C649" s="8">
        <f>CHOOSE( CONTROL!$C$32, 22.6601, 22.6545) * CHOOSE(CONTROL!$C$15, $D$11, 100%, $F$11)</f>
        <v>22.6601</v>
      </c>
      <c r="D649" s="8">
        <f>CHOOSE( CONTROL!$C$32, 22.6864, 22.6809) * CHOOSE( CONTROL!$C$15, $D$11, 100%, $F$11)</f>
        <v>22.686399999999999</v>
      </c>
      <c r="E649" s="12">
        <f>CHOOSE( CONTROL!$C$32, 22.6756, 22.6701) * CHOOSE( CONTROL!$C$15, $D$11, 100%, $F$11)</f>
        <v>22.675599999999999</v>
      </c>
      <c r="F649" s="4">
        <f>CHOOSE( CONTROL!$C$32, 23.3644, 23.3588) * CHOOSE(CONTROL!$C$15, $D$11, 100%, $F$11)</f>
        <v>23.3644</v>
      </c>
      <c r="G649" s="8">
        <f>CHOOSE( CONTROL!$C$32, 22.1105, 22.1051) * CHOOSE( CONTROL!$C$15, $D$11, 100%, $F$11)</f>
        <v>22.110499999999998</v>
      </c>
      <c r="H649" s="4">
        <f>CHOOSE( CONTROL!$C$32, 23.0548, 23.0494) * CHOOSE(CONTROL!$C$15, $D$11, 100%, $F$11)</f>
        <v>23.0548</v>
      </c>
      <c r="I649" s="8">
        <f>CHOOSE( CONTROL!$C$32, 21.8439, 21.8385) * CHOOSE(CONTROL!$C$15, $D$11, 100%, $F$11)</f>
        <v>21.843900000000001</v>
      </c>
      <c r="J649" s="4">
        <f>CHOOSE( CONTROL!$C$32, 21.7189, 21.7136) * CHOOSE(CONTROL!$C$15, $D$11, 100%, $F$11)</f>
        <v>21.718900000000001</v>
      </c>
      <c r="K649" s="4"/>
      <c r="L649" s="9">
        <v>29.7257</v>
      </c>
      <c r="M649" s="9">
        <v>11.6745</v>
      </c>
      <c r="N649" s="9">
        <v>4.7850000000000001</v>
      </c>
      <c r="O649" s="9">
        <v>0.36199999999999999</v>
      </c>
      <c r="P649" s="9">
        <v>1.1791</v>
      </c>
      <c r="Q649" s="9">
        <v>19.053000000000001</v>
      </c>
      <c r="R649" s="9"/>
      <c r="S649" s="11"/>
    </row>
    <row r="650" spans="1:19" ht="15.75">
      <c r="A650" s="13">
        <v>61301</v>
      </c>
      <c r="B650" s="8">
        <f>23.6494 * CHOOSE(CONTROL!$C$15, $D$11, 100%, $F$11)</f>
        <v>23.6494</v>
      </c>
      <c r="C650" s="8">
        <f>23.6548 * CHOOSE(CONTROL!$C$15, $D$11, 100%, $F$11)</f>
        <v>23.654800000000002</v>
      </c>
      <c r="D650" s="8">
        <f>23.686 * CHOOSE( CONTROL!$C$15, $D$11, 100%, $F$11)</f>
        <v>23.686</v>
      </c>
      <c r="E650" s="12">
        <f>23.6751 * CHOOSE( CONTROL!$C$15, $D$11, 100%, $F$11)</f>
        <v>23.6751</v>
      </c>
      <c r="F650" s="4">
        <f>24.3635 * CHOOSE(CONTROL!$C$15, $D$11, 100%, $F$11)</f>
        <v>24.363499999999998</v>
      </c>
      <c r="G650" s="8">
        <f>23.0855 * CHOOSE( CONTROL!$C$15, $D$11, 100%, $F$11)</f>
        <v>23.0855</v>
      </c>
      <c r="H650" s="4">
        <f>24.0307 * CHOOSE(CONTROL!$C$15, $D$11, 100%, $F$11)</f>
        <v>24.0307</v>
      </c>
      <c r="I650" s="8">
        <f>22.8045 * CHOOSE(CONTROL!$C$15, $D$11, 100%, $F$11)</f>
        <v>22.804500000000001</v>
      </c>
      <c r="J650" s="4">
        <f>22.6782 * CHOOSE(CONTROL!$C$15, $D$11, 100%, $F$11)</f>
        <v>22.6782</v>
      </c>
      <c r="K650" s="4"/>
      <c r="L650" s="9">
        <v>31.095300000000002</v>
      </c>
      <c r="M650" s="9">
        <v>12.063700000000001</v>
      </c>
      <c r="N650" s="9">
        <v>4.9444999999999997</v>
      </c>
      <c r="O650" s="9">
        <v>0.37409999999999999</v>
      </c>
      <c r="P650" s="9">
        <v>1.2183999999999999</v>
      </c>
      <c r="Q650" s="9">
        <v>19.688099999999999</v>
      </c>
      <c r="R650" s="9"/>
      <c r="S650" s="11"/>
    </row>
    <row r="651" spans="1:19" ht="15.75">
      <c r="A651" s="13">
        <v>61331</v>
      </c>
      <c r="B651" s="8">
        <f>25.5034 * CHOOSE(CONTROL!$C$15, $D$11, 100%, $F$11)</f>
        <v>25.503399999999999</v>
      </c>
      <c r="C651" s="8">
        <f>25.5086 * CHOOSE(CONTROL!$C$15, $D$11, 100%, $F$11)</f>
        <v>25.508600000000001</v>
      </c>
      <c r="D651" s="8">
        <f>25.4948 * CHOOSE( CONTROL!$C$15, $D$11, 100%, $F$11)</f>
        <v>25.494800000000001</v>
      </c>
      <c r="E651" s="12">
        <f>25.4993 * CHOOSE( CONTROL!$C$15, $D$11, 100%, $F$11)</f>
        <v>25.499300000000002</v>
      </c>
      <c r="F651" s="4">
        <f>26.1539 * CHOOSE(CONTROL!$C$15, $D$11, 100%, $F$11)</f>
        <v>26.1539</v>
      </c>
      <c r="G651" s="8">
        <f>24.9043 * CHOOSE( CONTROL!$C$15, $D$11, 100%, $F$11)</f>
        <v>24.904299999999999</v>
      </c>
      <c r="H651" s="4">
        <f>25.7794 * CHOOSE(CONTROL!$C$15, $D$11, 100%, $F$11)</f>
        <v>25.779399999999999</v>
      </c>
      <c r="I651" s="8">
        <f>24.6294 * CHOOSE(CONTROL!$C$15, $D$11, 100%, $F$11)</f>
        <v>24.6294</v>
      </c>
      <c r="J651" s="4">
        <f>24.4586 * CHOOSE(CONTROL!$C$15, $D$11, 100%, $F$11)</f>
        <v>24.458600000000001</v>
      </c>
      <c r="K651" s="4"/>
      <c r="L651" s="9">
        <v>28.360600000000002</v>
      </c>
      <c r="M651" s="9">
        <v>11.6745</v>
      </c>
      <c r="N651" s="9">
        <v>4.7850000000000001</v>
      </c>
      <c r="O651" s="9">
        <v>0.36199999999999999</v>
      </c>
      <c r="P651" s="9">
        <v>1.2509999999999999</v>
      </c>
      <c r="Q651" s="9">
        <v>19.053000000000001</v>
      </c>
      <c r="R651" s="9"/>
      <c r="S651" s="11"/>
    </row>
    <row r="652" spans="1:19" ht="15.75">
      <c r="A652" s="13">
        <v>61362</v>
      </c>
      <c r="B652" s="8">
        <f>25.4571 * CHOOSE(CONTROL!$C$15, $D$11, 100%, $F$11)</f>
        <v>25.457100000000001</v>
      </c>
      <c r="C652" s="8">
        <f>25.4623 * CHOOSE(CONTROL!$C$15, $D$11, 100%, $F$11)</f>
        <v>25.462299999999999</v>
      </c>
      <c r="D652" s="8">
        <f>25.45 * CHOOSE( CONTROL!$C$15, $D$11, 100%, $F$11)</f>
        <v>25.45</v>
      </c>
      <c r="E652" s="12">
        <f>25.4539 * CHOOSE( CONTROL!$C$15, $D$11, 100%, $F$11)</f>
        <v>25.453900000000001</v>
      </c>
      <c r="F652" s="4">
        <f>26.1075 * CHOOSE(CONTROL!$C$15, $D$11, 100%, $F$11)</f>
        <v>26.107500000000002</v>
      </c>
      <c r="G652" s="8">
        <f>24.8602 * CHOOSE( CONTROL!$C$15, $D$11, 100%, $F$11)</f>
        <v>24.860199999999999</v>
      </c>
      <c r="H652" s="4">
        <f>25.7341 * CHOOSE(CONTROL!$C$15, $D$11, 100%, $F$11)</f>
        <v>25.734100000000002</v>
      </c>
      <c r="I652" s="8">
        <f>24.5897 * CHOOSE(CONTROL!$C$15, $D$11, 100%, $F$11)</f>
        <v>24.589700000000001</v>
      </c>
      <c r="J652" s="4">
        <f>24.4142 * CHOOSE(CONTROL!$C$15, $D$11, 100%, $F$11)</f>
        <v>24.414200000000001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61393</v>
      </c>
      <c r="B653" s="8">
        <f>26.4289 * CHOOSE(CONTROL!$C$15, $D$11, 100%, $F$11)</f>
        <v>26.428899999999999</v>
      </c>
      <c r="C653" s="8">
        <f>26.4341 * CHOOSE(CONTROL!$C$15, $D$11, 100%, $F$11)</f>
        <v>26.434100000000001</v>
      </c>
      <c r="D653" s="8">
        <f>26.4166 * CHOOSE( CONTROL!$C$15, $D$11, 100%, $F$11)</f>
        <v>26.416599999999999</v>
      </c>
      <c r="E653" s="12">
        <f>26.4224 * CHOOSE( CONTROL!$C$15, $D$11, 100%, $F$11)</f>
        <v>26.4224</v>
      </c>
      <c r="F653" s="4">
        <f>27.0794 * CHOOSE(CONTROL!$C$15, $D$11, 100%, $F$11)</f>
        <v>27.0794</v>
      </c>
      <c r="G653" s="8">
        <f>25.7994 * CHOOSE( CONTROL!$C$15, $D$11, 100%, $F$11)</f>
        <v>25.799399999999999</v>
      </c>
      <c r="H653" s="4">
        <f>26.6833 * CHOOSE(CONTROL!$C$15, $D$11, 100%, $F$11)</f>
        <v>26.683299999999999</v>
      </c>
      <c r="I653" s="8">
        <f>25.4831 * CHOOSE(CONTROL!$C$15, $D$11, 100%, $F$11)</f>
        <v>25.4831</v>
      </c>
      <c r="J653" s="4">
        <f>25.3473 * CHOOSE(CONTROL!$C$15, $D$11, 100%, $F$11)</f>
        <v>25.347300000000001</v>
      </c>
      <c r="K653" s="4"/>
      <c r="L653" s="9">
        <v>29.306000000000001</v>
      </c>
      <c r="M653" s="9">
        <v>12.063700000000001</v>
      </c>
      <c r="N653" s="9">
        <v>4.9444999999999997</v>
      </c>
      <c r="O653" s="9">
        <v>0.37409999999999999</v>
      </c>
      <c r="P653" s="9">
        <v>1.2927</v>
      </c>
      <c r="Q653" s="9">
        <v>19.688099999999999</v>
      </c>
      <c r="R653" s="9"/>
      <c r="S653" s="11"/>
    </row>
    <row r="654" spans="1:19" ht="15.75">
      <c r="A654" s="13">
        <v>61422</v>
      </c>
      <c r="B654" s="8">
        <f>24.7222 * CHOOSE(CONTROL!$C$15, $D$11, 100%, $F$11)</f>
        <v>24.722200000000001</v>
      </c>
      <c r="C654" s="8">
        <f>24.7274 * CHOOSE(CONTROL!$C$15, $D$11, 100%, $F$11)</f>
        <v>24.727399999999999</v>
      </c>
      <c r="D654" s="8">
        <f>24.7098 * CHOOSE( CONTROL!$C$15, $D$11, 100%, $F$11)</f>
        <v>24.709800000000001</v>
      </c>
      <c r="E654" s="12">
        <f>24.7157 * CHOOSE( CONTROL!$C$15, $D$11, 100%, $F$11)</f>
        <v>24.715699999999998</v>
      </c>
      <c r="F654" s="4">
        <f>25.3727 * CHOOSE(CONTROL!$C$15, $D$11, 100%, $F$11)</f>
        <v>25.372699999999998</v>
      </c>
      <c r="G654" s="8">
        <f>24.1323 * CHOOSE( CONTROL!$C$15, $D$11, 100%, $F$11)</f>
        <v>24.132300000000001</v>
      </c>
      <c r="H654" s="4">
        <f>25.0163 * CHOOSE(CONTROL!$C$15, $D$11, 100%, $F$11)</f>
        <v>25.016300000000001</v>
      </c>
      <c r="I654" s="8">
        <f>23.8435 * CHOOSE(CONTROL!$C$15, $D$11, 100%, $F$11)</f>
        <v>23.843499999999999</v>
      </c>
      <c r="J654" s="4">
        <f>23.7086 * CHOOSE(CONTROL!$C$15, $D$11, 100%, $F$11)</f>
        <v>23.708600000000001</v>
      </c>
      <c r="K654" s="4"/>
      <c r="L654" s="9">
        <v>27.415299999999998</v>
      </c>
      <c r="M654" s="9">
        <v>11.285299999999999</v>
      </c>
      <c r="N654" s="9">
        <v>4.6254999999999997</v>
      </c>
      <c r="O654" s="9">
        <v>0.34989999999999999</v>
      </c>
      <c r="P654" s="9">
        <v>1.2093</v>
      </c>
      <c r="Q654" s="9">
        <v>18.417899999999999</v>
      </c>
      <c r="R654" s="9"/>
      <c r="S654" s="11"/>
    </row>
    <row r="655" spans="1:19" ht="15.75">
      <c r="A655" s="13">
        <v>61453</v>
      </c>
      <c r="B655" s="8">
        <f>24.1965 * CHOOSE(CONTROL!$C$15, $D$11, 100%, $F$11)</f>
        <v>24.1965</v>
      </c>
      <c r="C655" s="8">
        <f>24.2017 * CHOOSE(CONTROL!$C$15, $D$11, 100%, $F$11)</f>
        <v>24.201699999999999</v>
      </c>
      <c r="D655" s="8">
        <f>24.1837 * CHOOSE( CONTROL!$C$15, $D$11, 100%, $F$11)</f>
        <v>24.183700000000002</v>
      </c>
      <c r="E655" s="12">
        <f>24.1897 * CHOOSE( CONTROL!$C$15, $D$11, 100%, $F$11)</f>
        <v>24.189699999999998</v>
      </c>
      <c r="F655" s="4">
        <f>24.847 * CHOOSE(CONTROL!$C$15, $D$11, 100%, $F$11)</f>
        <v>24.847000000000001</v>
      </c>
      <c r="G655" s="8">
        <f>23.6186 * CHOOSE( CONTROL!$C$15, $D$11, 100%, $F$11)</f>
        <v>23.618600000000001</v>
      </c>
      <c r="H655" s="4">
        <f>24.5029 * CHOOSE(CONTROL!$C$15, $D$11, 100%, $F$11)</f>
        <v>24.5029</v>
      </c>
      <c r="I655" s="8">
        <f>23.3373 * CHOOSE(CONTROL!$C$15, $D$11, 100%, $F$11)</f>
        <v>23.337299999999999</v>
      </c>
      <c r="J655" s="4">
        <f>23.2039 * CHOOSE(CONTROL!$C$15, $D$11, 100%, $F$11)</f>
        <v>23.203900000000001</v>
      </c>
      <c r="K655" s="4"/>
      <c r="L655" s="9">
        <v>29.306000000000001</v>
      </c>
      <c r="M655" s="9">
        <v>12.063700000000001</v>
      </c>
      <c r="N655" s="9">
        <v>4.9444999999999997</v>
      </c>
      <c r="O655" s="9">
        <v>0.37409999999999999</v>
      </c>
      <c r="P655" s="9">
        <v>1.2927</v>
      </c>
      <c r="Q655" s="9">
        <v>19.688099999999999</v>
      </c>
      <c r="R655" s="9"/>
      <c r="S655" s="11"/>
    </row>
    <row r="656" spans="1:19" ht="15.75">
      <c r="A656" s="13">
        <v>61483</v>
      </c>
      <c r="B656" s="8">
        <f>24.5646 * CHOOSE(CONTROL!$C$15, $D$11, 100%, $F$11)</f>
        <v>24.564599999999999</v>
      </c>
      <c r="C656" s="8">
        <f>24.5692 * CHOOSE(CONTROL!$C$15, $D$11, 100%, $F$11)</f>
        <v>24.569199999999999</v>
      </c>
      <c r="D656" s="8">
        <f>24.6003 * CHOOSE( CONTROL!$C$15, $D$11, 100%, $F$11)</f>
        <v>24.600300000000001</v>
      </c>
      <c r="E656" s="12">
        <f>24.5895 * CHOOSE( CONTROL!$C$15, $D$11, 100%, $F$11)</f>
        <v>24.589500000000001</v>
      </c>
      <c r="F656" s="4">
        <f>25.2784 * CHOOSE(CONTROL!$C$15, $D$11, 100%, $F$11)</f>
        <v>25.278400000000001</v>
      </c>
      <c r="G656" s="8">
        <f>23.9783 * CHOOSE( CONTROL!$C$15, $D$11, 100%, $F$11)</f>
        <v>23.978300000000001</v>
      </c>
      <c r="H656" s="4">
        <f>24.9242 * CHOOSE(CONTROL!$C$15, $D$11, 100%, $F$11)</f>
        <v>24.924199999999999</v>
      </c>
      <c r="I656" s="8">
        <f>23.6807 * CHOOSE(CONTROL!$C$15, $D$11, 100%, $F$11)</f>
        <v>23.680700000000002</v>
      </c>
      <c r="J656" s="4">
        <f>23.5566 * CHOOSE(CONTROL!$C$15, $D$11, 100%, $F$11)</f>
        <v>23.5566</v>
      </c>
      <c r="K656" s="4"/>
      <c r="L656" s="9">
        <v>30.092199999999998</v>
      </c>
      <c r="M656" s="9">
        <v>11.6745</v>
      </c>
      <c r="N656" s="9">
        <v>4.7850000000000001</v>
      </c>
      <c r="O656" s="9">
        <v>0.36199999999999999</v>
      </c>
      <c r="P656" s="9">
        <v>1.1791</v>
      </c>
      <c r="Q656" s="9">
        <v>19.053000000000001</v>
      </c>
      <c r="R656" s="9"/>
      <c r="S656" s="11"/>
    </row>
    <row r="657" spans="1:19" ht="15.75">
      <c r="A657" s="13">
        <v>61514</v>
      </c>
      <c r="B657" s="8">
        <f>CHOOSE( CONTROL!$C$32, 25.2253, 25.2197) * CHOOSE(CONTROL!$C$15, $D$11, 100%, $F$11)</f>
        <v>25.225300000000001</v>
      </c>
      <c r="C657" s="8">
        <f>CHOOSE( CONTROL!$C$32, 25.2334, 25.2278) * CHOOSE(CONTROL!$C$15, $D$11, 100%, $F$11)</f>
        <v>25.2334</v>
      </c>
      <c r="D657" s="8">
        <f>CHOOSE( CONTROL!$C$32, 25.2594, 25.2538) * CHOOSE( CONTROL!$C$15, $D$11, 100%, $F$11)</f>
        <v>25.259399999999999</v>
      </c>
      <c r="E657" s="12">
        <f>CHOOSE( CONTROL!$C$32, 25.2487, 25.2431) * CHOOSE( CONTROL!$C$15, $D$11, 100%, $F$11)</f>
        <v>25.248699999999999</v>
      </c>
      <c r="F657" s="4">
        <f>CHOOSE( CONTROL!$C$32, 25.9377, 25.9321) * CHOOSE(CONTROL!$C$15, $D$11, 100%, $F$11)</f>
        <v>25.9377</v>
      </c>
      <c r="G657" s="8">
        <f>CHOOSE( CONTROL!$C$32, 24.6234, 24.6179) * CHOOSE( CONTROL!$C$15, $D$11, 100%, $F$11)</f>
        <v>24.6234</v>
      </c>
      <c r="H657" s="4">
        <f>CHOOSE( CONTROL!$C$32, 25.5682, 25.5628) * CHOOSE(CONTROL!$C$15, $D$11, 100%, $F$11)</f>
        <v>25.568200000000001</v>
      </c>
      <c r="I657" s="8">
        <f>CHOOSE( CONTROL!$C$32, 24.314, 24.3086) * CHOOSE(CONTROL!$C$15, $D$11, 100%, $F$11)</f>
        <v>24.314</v>
      </c>
      <c r="J657" s="4">
        <f>CHOOSE( CONTROL!$C$32, 24.1896, 24.1842) * CHOOSE(CONTROL!$C$15, $D$11, 100%, $F$11)</f>
        <v>24.189599999999999</v>
      </c>
      <c r="K657" s="4"/>
      <c r="L657" s="9">
        <v>30.7165</v>
      </c>
      <c r="M657" s="9">
        <v>12.063700000000001</v>
      </c>
      <c r="N657" s="9">
        <v>4.9444999999999997</v>
      </c>
      <c r="O657" s="9">
        <v>0.37409999999999999</v>
      </c>
      <c r="P657" s="9">
        <v>1.2183999999999999</v>
      </c>
      <c r="Q657" s="9">
        <v>19.688099999999999</v>
      </c>
      <c r="R657" s="9"/>
      <c r="S657" s="11"/>
    </row>
    <row r="658" spans="1:19" ht="15.75">
      <c r="A658" s="13">
        <v>61544</v>
      </c>
      <c r="B658" s="8">
        <f>CHOOSE( CONTROL!$C$32, 24.8203, 24.8148) * CHOOSE(CONTROL!$C$15, $D$11, 100%, $F$11)</f>
        <v>24.8203</v>
      </c>
      <c r="C658" s="8">
        <f>CHOOSE( CONTROL!$C$32, 24.8284, 24.8228) * CHOOSE(CONTROL!$C$15, $D$11, 100%, $F$11)</f>
        <v>24.828399999999998</v>
      </c>
      <c r="D658" s="8">
        <f>CHOOSE( CONTROL!$C$32, 24.8545, 24.849) * CHOOSE( CONTROL!$C$15, $D$11, 100%, $F$11)</f>
        <v>24.854500000000002</v>
      </c>
      <c r="E658" s="12">
        <f>CHOOSE( CONTROL!$C$32, 24.8438, 24.8383) * CHOOSE( CONTROL!$C$15, $D$11, 100%, $F$11)</f>
        <v>24.843800000000002</v>
      </c>
      <c r="F658" s="4">
        <f>CHOOSE( CONTROL!$C$32, 25.5327, 25.5271) * CHOOSE(CONTROL!$C$15, $D$11, 100%, $F$11)</f>
        <v>25.532699999999998</v>
      </c>
      <c r="G658" s="8">
        <f>CHOOSE( CONTROL!$C$32, 24.2281, 24.2226) * CHOOSE( CONTROL!$C$15, $D$11, 100%, $F$11)</f>
        <v>24.228100000000001</v>
      </c>
      <c r="H658" s="4">
        <f>CHOOSE( CONTROL!$C$32, 25.1727, 25.1672) * CHOOSE(CONTROL!$C$15, $D$11, 100%, $F$11)</f>
        <v>25.172699999999999</v>
      </c>
      <c r="I658" s="8">
        <f>CHOOSE( CONTROL!$C$32, 23.9257, 23.9204) * CHOOSE(CONTROL!$C$15, $D$11, 100%, $F$11)</f>
        <v>23.925699999999999</v>
      </c>
      <c r="J658" s="4">
        <f>CHOOSE( CONTROL!$C$32, 23.8008, 23.7954) * CHOOSE(CONTROL!$C$15, $D$11, 100%, $F$11)</f>
        <v>23.800799999999999</v>
      </c>
      <c r="K658" s="4"/>
      <c r="L658" s="9">
        <v>29.7257</v>
      </c>
      <c r="M658" s="9">
        <v>11.6745</v>
      </c>
      <c r="N658" s="9">
        <v>4.7850000000000001</v>
      </c>
      <c r="O658" s="9">
        <v>0.36199999999999999</v>
      </c>
      <c r="P658" s="9">
        <v>1.1791</v>
      </c>
      <c r="Q658" s="9">
        <v>19.053000000000001</v>
      </c>
      <c r="R658" s="9"/>
      <c r="S658" s="11"/>
    </row>
    <row r="659" spans="1:19" ht="15.75">
      <c r="A659" s="13">
        <v>61575</v>
      </c>
      <c r="B659" s="8">
        <f>CHOOSE( CONTROL!$C$32, 25.8868, 25.8812) * CHOOSE(CONTROL!$C$15, $D$11, 100%, $F$11)</f>
        <v>25.886800000000001</v>
      </c>
      <c r="C659" s="8">
        <f>CHOOSE( CONTROL!$C$32, 25.8949, 25.8893) * CHOOSE(CONTROL!$C$15, $D$11, 100%, $F$11)</f>
        <v>25.8949</v>
      </c>
      <c r="D659" s="8">
        <f>CHOOSE( CONTROL!$C$32, 25.9212, 25.9157) * CHOOSE( CONTROL!$C$15, $D$11, 100%, $F$11)</f>
        <v>25.921199999999999</v>
      </c>
      <c r="E659" s="12">
        <f>CHOOSE( CONTROL!$C$32, 25.9104, 25.9049) * CHOOSE( CONTROL!$C$15, $D$11, 100%, $F$11)</f>
        <v>25.910399999999999</v>
      </c>
      <c r="F659" s="4">
        <f>CHOOSE( CONTROL!$C$32, 26.5992, 26.5936) * CHOOSE(CONTROL!$C$15, $D$11, 100%, $F$11)</f>
        <v>26.5992</v>
      </c>
      <c r="G659" s="8">
        <f>CHOOSE( CONTROL!$C$32, 25.27, 25.2645) * CHOOSE( CONTROL!$C$15, $D$11, 100%, $F$11)</f>
        <v>25.27</v>
      </c>
      <c r="H659" s="4">
        <f>CHOOSE( CONTROL!$C$32, 26.2143, 26.2089) * CHOOSE(CONTROL!$C$15, $D$11, 100%, $F$11)</f>
        <v>26.214300000000001</v>
      </c>
      <c r="I659" s="8">
        <f>CHOOSE( CONTROL!$C$32, 24.9511, 24.9458) * CHOOSE(CONTROL!$C$15, $D$11, 100%, $F$11)</f>
        <v>24.9511</v>
      </c>
      <c r="J659" s="4">
        <f>CHOOSE( CONTROL!$C$32, 24.8247, 24.8193) * CHOOSE(CONTROL!$C$15, $D$11, 100%, $F$11)</f>
        <v>24.8247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1.2183999999999999</v>
      </c>
      <c r="Q659" s="9">
        <v>19.688099999999999</v>
      </c>
      <c r="R659" s="9"/>
      <c r="S659" s="11"/>
    </row>
    <row r="660" spans="1:19" ht="15.75">
      <c r="A660" s="13">
        <v>61606</v>
      </c>
      <c r="B660" s="8">
        <f>CHOOSE( CONTROL!$C$32, 23.8913, 23.8857) * CHOOSE(CONTROL!$C$15, $D$11, 100%, $F$11)</f>
        <v>23.891300000000001</v>
      </c>
      <c r="C660" s="8">
        <f>CHOOSE( CONTROL!$C$32, 23.8994, 23.8938) * CHOOSE(CONTROL!$C$15, $D$11, 100%, $F$11)</f>
        <v>23.8994</v>
      </c>
      <c r="D660" s="8">
        <f>CHOOSE( CONTROL!$C$32, 23.9258, 23.9202) * CHOOSE( CONTROL!$C$15, $D$11, 100%, $F$11)</f>
        <v>23.925799999999999</v>
      </c>
      <c r="E660" s="12">
        <f>CHOOSE( CONTROL!$C$32, 23.915, 23.9094) * CHOOSE( CONTROL!$C$15, $D$11, 100%, $F$11)</f>
        <v>23.914999999999999</v>
      </c>
      <c r="F660" s="4">
        <f>CHOOSE( CONTROL!$C$32, 24.6037, 24.5981) * CHOOSE(CONTROL!$C$15, $D$11, 100%, $F$11)</f>
        <v>24.6037</v>
      </c>
      <c r="G660" s="8">
        <f>CHOOSE( CONTROL!$C$32, 23.3211, 23.3156) * CHOOSE( CONTROL!$C$15, $D$11, 100%, $F$11)</f>
        <v>23.321100000000001</v>
      </c>
      <c r="H660" s="4">
        <f>CHOOSE( CONTROL!$C$32, 24.2653, 24.2599) * CHOOSE(CONTROL!$C$15, $D$11, 100%, $F$11)</f>
        <v>24.2653</v>
      </c>
      <c r="I660" s="8">
        <f>CHOOSE( CONTROL!$C$32, 23.0346, 23.0292) * CHOOSE(CONTROL!$C$15, $D$11, 100%, $F$11)</f>
        <v>23.034600000000001</v>
      </c>
      <c r="J660" s="4">
        <f>CHOOSE( CONTROL!$C$32, 22.9088, 22.9035) * CHOOSE(CONTROL!$C$15, $D$11, 100%, $F$11)</f>
        <v>22.908799999999999</v>
      </c>
      <c r="K660" s="4"/>
      <c r="L660" s="9">
        <v>30.7165</v>
      </c>
      <c r="M660" s="9">
        <v>12.063700000000001</v>
      </c>
      <c r="N660" s="9">
        <v>4.9444999999999997</v>
      </c>
      <c r="O660" s="9">
        <v>0.37409999999999999</v>
      </c>
      <c r="P660" s="9">
        <v>1.2183999999999999</v>
      </c>
      <c r="Q660" s="9">
        <v>19.688099999999999</v>
      </c>
      <c r="R660" s="9"/>
      <c r="S660" s="11"/>
    </row>
    <row r="661" spans="1:19" ht="15.75">
      <c r="A661" s="13">
        <v>61636</v>
      </c>
      <c r="B661" s="8">
        <f>CHOOSE( CONTROL!$C$32, 23.3916, 23.386) * CHOOSE(CONTROL!$C$15, $D$11, 100%, $F$11)</f>
        <v>23.3916</v>
      </c>
      <c r="C661" s="8">
        <f>CHOOSE( CONTROL!$C$32, 23.3997, 23.3941) * CHOOSE(CONTROL!$C$15, $D$11, 100%, $F$11)</f>
        <v>23.399699999999999</v>
      </c>
      <c r="D661" s="8">
        <f>CHOOSE( CONTROL!$C$32, 23.426, 23.4205) * CHOOSE( CONTROL!$C$15, $D$11, 100%, $F$11)</f>
        <v>23.425999999999998</v>
      </c>
      <c r="E661" s="12">
        <f>CHOOSE( CONTROL!$C$32, 23.4152, 23.4097) * CHOOSE( CONTROL!$C$15, $D$11, 100%, $F$11)</f>
        <v>23.415199999999999</v>
      </c>
      <c r="F661" s="4">
        <f>CHOOSE( CONTROL!$C$32, 24.104, 24.0984) * CHOOSE(CONTROL!$C$15, $D$11, 100%, $F$11)</f>
        <v>24.103999999999999</v>
      </c>
      <c r="G661" s="8">
        <f>CHOOSE( CONTROL!$C$32, 22.8329, 22.8275) * CHOOSE( CONTROL!$C$15, $D$11, 100%, $F$11)</f>
        <v>22.832899999999999</v>
      </c>
      <c r="H661" s="4">
        <f>CHOOSE( CONTROL!$C$32, 23.7772, 23.7718) * CHOOSE(CONTROL!$C$15, $D$11, 100%, $F$11)</f>
        <v>23.777200000000001</v>
      </c>
      <c r="I661" s="8">
        <f>CHOOSE( CONTROL!$C$32, 22.5544, 22.549) * CHOOSE(CONTROL!$C$15, $D$11, 100%, $F$11)</f>
        <v>22.554400000000001</v>
      </c>
      <c r="J661" s="4">
        <f>CHOOSE( CONTROL!$C$32, 22.4291, 22.4237) * CHOOSE(CONTROL!$C$15, $D$11, 100%, $F$11)</f>
        <v>22.429099999999998</v>
      </c>
      <c r="K661" s="4"/>
      <c r="L661" s="9">
        <v>29.7257</v>
      </c>
      <c r="M661" s="9">
        <v>11.6745</v>
      </c>
      <c r="N661" s="9">
        <v>4.7850000000000001</v>
      </c>
      <c r="O661" s="9">
        <v>0.36199999999999999</v>
      </c>
      <c r="P661" s="9">
        <v>1.1791</v>
      </c>
      <c r="Q661" s="9">
        <v>19.053000000000001</v>
      </c>
      <c r="R661" s="9"/>
      <c r="S661" s="11"/>
    </row>
    <row r="662" spans="1:19" ht="15.75">
      <c r="A662" s="13">
        <v>61667</v>
      </c>
      <c r="B662" s="8">
        <f>24.4219 * CHOOSE(CONTROL!$C$15, $D$11, 100%, $F$11)</f>
        <v>24.421900000000001</v>
      </c>
      <c r="C662" s="8">
        <f>24.4273 * CHOOSE(CONTROL!$C$15, $D$11, 100%, $F$11)</f>
        <v>24.427299999999999</v>
      </c>
      <c r="D662" s="8">
        <f>24.4585 * CHOOSE( CONTROL!$C$15, $D$11, 100%, $F$11)</f>
        <v>24.458500000000001</v>
      </c>
      <c r="E662" s="12">
        <f>24.4476 * CHOOSE( CONTROL!$C$15, $D$11, 100%, $F$11)</f>
        <v>24.447600000000001</v>
      </c>
      <c r="F662" s="4">
        <f>25.136 * CHOOSE(CONTROL!$C$15, $D$11, 100%, $F$11)</f>
        <v>25.135999999999999</v>
      </c>
      <c r="G662" s="8">
        <f>23.84 * CHOOSE( CONTROL!$C$15, $D$11, 100%, $F$11)</f>
        <v>23.84</v>
      </c>
      <c r="H662" s="4">
        <f>24.7852 * CHOOSE(CONTROL!$C$15, $D$11, 100%, $F$11)</f>
        <v>24.7852</v>
      </c>
      <c r="I662" s="8">
        <f>23.5465 * CHOOSE(CONTROL!$C$15, $D$11, 100%, $F$11)</f>
        <v>23.546500000000002</v>
      </c>
      <c r="J662" s="4">
        <f>23.4199 * CHOOSE(CONTROL!$C$15, $D$11, 100%, $F$11)</f>
        <v>23.419899999999998</v>
      </c>
      <c r="K662" s="4"/>
      <c r="L662" s="9">
        <v>31.095300000000002</v>
      </c>
      <c r="M662" s="9">
        <v>12.063700000000001</v>
      </c>
      <c r="N662" s="9">
        <v>4.9444999999999997</v>
      </c>
      <c r="O662" s="9">
        <v>0.37409999999999999</v>
      </c>
      <c r="P662" s="9">
        <v>1.2183999999999999</v>
      </c>
      <c r="Q662" s="9">
        <v>19.688099999999999</v>
      </c>
      <c r="R662" s="9"/>
      <c r="S662" s="11"/>
    </row>
    <row r="663" spans="1:19" ht="15.75">
      <c r="A663" s="13">
        <v>61697</v>
      </c>
      <c r="B663" s="8">
        <f>26.3365 * CHOOSE(CONTROL!$C$15, $D$11, 100%, $F$11)</f>
        <v>26.336500000000001</v>
      </c>
      <c r="C663" s="8">
        <f>26.3417 * CHOOSE(CONTROL!$C$15, $D$11, 100%, $F$11)</f>
        <v>26.341699999999999</v>
      </c>
      <c r="D663" s="8">
        <f>26.328 * CHOOSE( CONTROL!$C$15, $D$11, 100%, $F$11)</f>
        <v>26.327999999999999</v>
      </c>
      <c r="E663" s="12">
        <f>26.3325 * CHOOSE( CONTROL!$C$15, $D$11, 100%, $F$11)</f>
        <v>26.3325</v>
      </c>
      <c r="F663" s="4">
        <f>26.987 * CHOOSE(CONTROL!$C$15, $D$11, 100%, $F$11)</f>
        <v>26.986999999999998</v>
      </c>
      <c r="G663" s="8">
        <f>25.7181 * CHOOSE( CONTROL!$C$15, $D$11, 100%, $F$11)</f>
        <v>25.7181</v>
      </c>
      <c r="H663" s="4">
        <f>26.5931 * CHOOSE(CONTROL!$C$15, $D$11, 100%, $F$11)</f>
        <v>26.5931</v>
      </c>
      <c r="I663" s="8">
        <f>25.4297 * CHOOSE(CONTROL!$C$15, $D$11, 100%, $F$11)</f>
        <v>25.4297</v>
      </c>
      <c r="J663" s="4">
        <f>25.2585 * CHOOSE(CONTROL!$C$15, $D$11, 100%, $F$11)</f>
        <v>25.258500000000002</v>
      </c>
      <c r="K663" s="4"/>
      <c r="L663" s="9">
        <v>28.360600000000002</v>
      </c>
      <c r="M663" s="9">
        <v>11.6745</v>
      </c>
      <c r="N663" s="9">
        <v>4.7850000000000001</v>
      </c>
      <c r="O663" s="9">
        <v>0.36199999999999999</v>
      </c>
      <c r="P663" s="9">
        <v>1.2509999999999999</v>
      </c>
      <c r="Q663" s="9">
        <v>19.053000000000001</v>
      </c>
      <c r="R663" s="9"/>
      <c r="S663" s="11"/>
    </row>
    <row r="664" spans="1:19" ht="15.75">
      <c r="A664" s="13">
        <v>61728</v>
      </c>
      <c r="B664" s="8">
        <f>26.2887 * CHOOSE(CONTROL!$C$15, $D$11, 100%, $F$11)</f>
        <v>26.288699999999999</v>
      </c>
      <c r="C664" s="8">
        <f>26.2939 * CHOOSE(CONTROL!$C$15, $D$11, 100%, $F$11)</f>
        <v>26.293900000000001</v>
      </c>
      <c r="D664" s="8">
        <f>26.2816 * CHOOSE( CONTROL!$C$15, $D$11, 100%, $F$11)</f>
        <v>26.281600000000001</v>
      </c>
      <c r="E664" s="12">
        <f>26.2855 * CHOOSE( CONTROL!$C$15, $D$11, 100%, $F$11)</f>
        <v>26.285499999999999</v>
      </c>
      <c r="F664" s="4">
        <f>26.9392 * CHOOSE(CONTROL!$C$15, $D$11, 100%, $F$11)</f>
        <v>26.9392</v>
      </c>
      <c r="G664" s="8">
        <f>25.6724 * CHOOSE( CONTROL!$C$15, $D$11, 100%, $F$11)</f>
        <v>25.6724</v>
      </c>
      <c r="H664" s="4">
        <f>26.5463 * CHOOSE(CONTROL!$C$15, $D$11, 100%, $F$11)</f>
        <v>26.546299999999999</v>
      </c>
      <c r="I664" s="8">
        <f>25.3885 * CHOOSE(CONTROL!$C$15, $D$11, 100%, $F$11)</f>
        <v>25.388500000000001</v>
      </c>
      <c r="J664" s="4">
        <f>25.2126 * CHOOSE(CONTROL!$C$15, $D$11, 100%, $F$11)</f>
        <v>25.212599999999998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61759</v>
      </c>
      <c r="B665" s="8">
        <f>27.2923 * CHOOSE(CONTROL!$C$15, $D$11, 100%, $F$11)</f>
        <v>27.292300000000001</v>
      </c>
      <c r="C665" s="8">
        <f>27.2975 * CHOOSE(CONTROL!$C$15, $D$11, 100%, $F$11)</f>
        <v>27.297499999999999</v>
      </c>
      <c r="D665" s="8">
        <f>27.28 * CHOOSE( CONTROL!$C$15, $D$11, 100%, $F$11)</f>
        <v>27.28</v>
      </c>
      <c r="E665" s="12">
        <f>27.2858 * CHOOSE( CONTROL!$C$15, $D$11, 100%, $F$11)</f>
        <v>27.285799999999998</v>
      </c>
      <c r="F665" s="4">
        <f>27.9428 * CHOOSE(CONTROL!$C$15, $D$11, 100%, $F$11)</f>
        <v>27.942799999999998</v>
      </c>
      <c r="G665" s="8">
        <f>26.6427 * CHOOSE( CONTROL!$C$15, $D$11, 100%, $F$11)</f>
        <v>26.642700000000001</v>
      </c>
      <c r="H665" s="4">
        <f>27.5266 * CHOOSE(CONTROL!$C$15, $D$11, 100%, $F$11)</f>
        <v>27.526599999999998</v>
      </c>
      <c r="I665" s="8">
        <f>26.3125 * CHOOSE(CONTROL!$C$15, $D$11, 100%, $F$11)</f>
        <v>26.3125</v>
      </c>
      <c r="J665" s="4">
        <f>26.1762 * CHOOSE(CONTROL!$C$15, $D$11, 100%, $F$11)</f>
        <v>26.176200000000001</v>
      </c>
      <c r="K665" s="4"/>
      <c r="L665" s="9">
        <v>29.306000000000001</v>
      </c>
      <c r="M665" s="9">
        <v>12.063700000000001</v>
      </c>
      <c r="N665" s="9">
        <v>4.9444999999999997</v>
      </c>
      <c r="O665" s="9">
        <v>0.37409999999999999</v>
      </c>
      <c r="P665" s="9">
        <v>1.2927</v>
      </c>
      <c r="Q665" s="9">
        <v>19.688099999999999</v>
      </c>
      <c r="R665" s="9"/>
      <c r="S665" s="11"/>
    </row>
    <row r="666" spans="1:19" ht="15.75">
      <c r="A666" s="13">
        <v>61787</v>
      </c>
      <c r="B666" s="8">
        <f>25.5298 * CHOOSE(CONTROL!$C$15, $D$11, 100%, $F$11)</f>
        <v>25.529800000000002</v>
      </c>
      <c r="C666" s="8">
        <f>25.535 * CHOOSE(CONTROL!$C$15, $D$11, 100%, $F$11)</f>
        <v>25.535</v>
      </c>
      <c r="D666" s="8">
        <f>25.5173 * CHOOSE( CONTROL!$C$15, $D$11, 100%, $F$11)</f>
        <v>25.517299999999999</v>
      </c>
      <c r="E666" s="12">
        <f>25.5232 * CHOOSE( CONTROL!$C$15, $D$11, 100%, $F$11)</f>
        <v>25.523199999999999</v>
      </c>
      <c r="F666" s="4">
        <f>26.1802 * CHOOSE(CONTROL!$C$15, $D$11, 100%, $F$11)</f>
        <v>26.180199999999999</v>
      </c>
      <c r="G666" s="8">
        <f>24.9211 * CHOOSE( CONTROL!$C$15, $D$11, 100%, $F$11)</f>
        <v>24.921099999999999</v>
      </c>
      <c r="H666" s="4">
        <f>25.8051 * CHOOSE(CONTROL!$C$15, $D$11, 100%, $F$11)</f>
        <v>25.805099999999999</v>
      </c>
      <c r="I666" s="8">
        <f>24.6192 * CHOOSE(CONTROL!$C$15, $D$11, 100%, $F$11)</f>
        <v>24.619199999999999</v>
      </c>
      <c r="J666" s="4">
        <f>24.484 * CHOOSE(CONTROL!$C$15, $D$11, 100%, $F$11)</f>
        <v>24.484000000000002</v>
      </c>
      <c r="K666" s="4"/>
      <c r="L666" s="9">
        <v>26.469899999999999</v>
      </c>
      <c r="M666" s="9">
        <v>10.8962</v>
      </c>
      <c r="N666" s="9">
        <v>4.4660000000000002</v>
      </c>
      <c r="O666" s="9">
        <v>0.33789999999999998</v>
      </c>
      <c r="P666" s="9">
        <v>1.1676</v>
      </c>
      <c r="Q666" s="9">
        <v>17.782800000000002</v>
      </c>
      <c r="R666" s="9"/>
      <c r="S666" s="11"/>
    </row>
    <row r="667" spans="1:19" ht="15.75">
      <c r="A667" s="13">
        <v>61818</v>
      </c>
      <c r="B667" s="8">
        <f>24.9869 * CHOOSE(CONTROL!$C$15, $D$11, 100%, $F$11)</f>
        <v>24.986899999999999</v>
      </c>
      <c r="C667" s="8">
        <f>24.9921 * CHOOSE(CONTROL!$C$15, $D$11, 100%, $F$11)</f>
        <v>24.992100000000001</v>
      </c>
      <c r="D667" s="8">
        <f>24.9741 * CHOOSE( CONTROL!$C$15, $D$11, 100%, $F$11)</f>
        <v>24.9741</v>
      </c>
      <c r="E667" s="12">
        <f>24.9801 * CHOOSE( CONTROL!$C$15, $D$11, 100%, $F$11)</f>
        <v>24.9801</v>
      </c>
      <c r="F667" s="4">
        <f>25.6374 * CHOOSE(CONTROL!$C$15, $D$11, 100%, $F$11)</f>
        <v>25.6374</v>
      </c>
      <c r="G667" s="8">
        <f>24.3906 * CHOOSE( CONTROL!$C$15, $D$11, 100%, $F$11)</f>
        <v>24.390599999999999</v>
      </c>
      <c r="H667" s="4">
        <f>25.2749 * CHOOSE(CONTROL!$C$15, $D$11, 100%, $F$11)</f>
        <v>25.274899999999999</v>
      </c>
      <c r="I667" s="8">
        <f>24.0966 * CHOOSE(CONTROL!$C$15, $D$11, 100%, $F$11)</f>
        <v>24.096599999999999</v>
      </c>
      <c r="J667" s="4">
        <f>23.9627 * CHOOSE(CONTROL!$C$15, $D$11, 100%, $F$11)</f>
        <v>23.962700000000002</v>
      </c>
      <c r="K667" s="4"/>
      <c r="L667" s="9">
        <v>29.306000000000001</v>
      </c>
      <c r="M667" s="9">
        <v>12.063700000000001</v>
      </c>
      <c r="N667" s="9">
        <v>4.9444999999999997</v>
      </c>
      <c r="O667" s="9">
        <v>0.37409999999999999</v>
      </c>
      <c r="P667" s="9">
        <v>1.2927</v>
      </c>
      <c r="Q667" s="9">
        <v>19.688099999999999</v>
      </c>
      <c r="R667" s="9"/>
      <c r="S667" s="11"/>
    </row>
    <row r="668" spans="1:19" ht="15.75">
      <c r="A668" s="13">
        <v>61848</v>
      </c>
      <c r="B668" s="8">
        <f>25.367 * CHOOSE(CONTROL!$C$15, $D$11, 100%, $F$11)</f>
        <v>25.367000000000001</v>
      </c>
      <c r="C668" s="8">
        <f>25.3716 * CHOOSE(CONTROL!$C$15, $D$11, 100%, $F$11)</f>
        <v>25.371600000000001</v>
      </c>
      <c r="D668" s="8">
        <f>25.4028 * CHOOSE( CONTROL!$C$15, $D$11, 100%, $F$11)</f>
        <v>25.402799999999999</v>
      </c>
      <c r="E668" s="12">
        <f>25.392 * CHOOSE( CONTROL!$C$15, $D$11, 100%, $F$11)</f>
        <v>25.391999999999999</v>
      </c>
      <c r="F668" s="4">
        <f>26.0808 * CHOOSE(CONTROL!$C$15, $D$11, 100%, $F$11)</f>
        <v>26.0808</v>
      </c>
      <c r="G668" s="8">
        <f>24.762 * CHOOSE( CONTROL!$C$15, $D$11, 100%, $F$11)</f>
        <v>24.762</v>
      </c>
      <c r="H668" s="4">
        <f>25.708 * CHOOSE(CONTROL!$C$15, $D$11, 100%, $F$11)</f>
        <v>25.707999999999998</v>
      </c>
      <c r="I668" s="8">
        <f>24.4514 * CHOOSE(CONTROL!$C$15, $D$11, 100%, $F$11)</f>
        <v>24.4514</v>
      </c>
      <c r="J668" s="4">
        <f>24.327 * CHOOSE(CONTROL!$C$15, $D$11, 100%, $F$11)</f>
        <v>24.327000000000002</v>
      </c>
      <c r="K668" s="4"/>
      <c r="L668" s="9">
        <v>30.092199999999998</v>
      </c>
      <c r="M668" s="9">
        <v>11.6745</v>
      </c>
      <c r="N668" s="9">
        <v>4.7850000000000001</v>
      </c>
      <c r="O668" s="9">
        <v>0.36199999999999999</v>
      </c>
      <c r="P668" s="9">
        <v>1.1791</v>
      </c>
      <c r="Q668" s="9">
        <v>19.053000000000001</v>
      </c>
      <c r="R668" s="9"/>
      <c r="S668" s="11"/>
    </row>
    <row r="669" spans="1:19" ht="15.75">
      <c r="A669" s="13">
        <v>61879</v>
      </c>
      <c r="B669" s="8">
        <f>CHOOSE( CONTROL!$C$32, 26.0491, 26.0435) * CHOOSE(CONTROL!$C$15, $D$11, 100%, $F$11)</f>
        <v>26.049099999999999</v>
      </c>
      <c r="C669" s="8">
        <f>CHOOSE( CONTROL!$C$32, 26.0572, 26.0516) * CHOOSE(CONTROL!$C$15, $D$11, 100%, $F$11)</f>
        <v>26.057200000000002</v>
      </c>
      <c r="D669" s="8">
        <f>CHOOSE( CONTROL!$C$32, 26.0831, 26.0776) * CHOOSE( CONTROL!$C$15, $D$11, 100%, $F$11)</f>
        <v>26.083100000000002</v>
      </c>
      <c r="E669" s="12">
        <f>CHOOSE( CONTROL!$C$32, 26.0725, 26.0669) * CHOOSE( CONTROL!$C$15, $D$11, 100%, $F$11)</f>
        <v>26.072500000000002</v>
      </c>
      <c r="F669" s="4">
        <f>CHOOSE( CONTROL!$C$32, 26.7615, 26.7559) * CHOOSE(CONTROL!$C$15, $D$11, 100%, $F$11)</f>
        <v>26.761500000000002</v>
      </c>
      <c r="G669" s="8">
        <f>CHOOSE( CONTROL!$C$32, 25.4279, 25.4225) * CHOOSE( CONTROL!$C$15, $D$11, 100%, $F$11)</f>
        <v>25.427900000000001</v>
      </c>
      <c r="H669" s="4">
        <f>CHOOSE( CONTROL!$C$32, 26.3728, 26.3674) * CHOOSE(CONTROL!$C$15, $D$11, 100%, $F$11)</f>
        <v>26.372800000000002</v>
      </c>
      <c r="I669" s="8">
        <f>CHOOSE( CONTROL!$C$32, 25.1053, 25.0999) * CHOOSE(CONTROL!$C$15, $D$11, 100%, $F$11)</f>
        <v>25.1053</v>
      </c>
      <c r="J669" s="4">
        <f>CHOOSE( CONTROL!$C$32, 24.9805, 24.9752) * CHOOSE(CONTROL!$C$15, $D$11, 100%, $F$11)</f>
        <v>24.980499999999999</v>
      </c>
      <c r="K669" s="4"/>
      <c r="L669" s="9">
        <v>30.7165</v>
      </c>
      <c r="M669" s="9">
        <v>12.063700000000001</v>
      </c>
      <c r="N669" s="9">
        <v>4.9444999999999997</v>
      </c>
      <c r="O669" s="9">
        <v>0.37409999999999999</v>
      </c>
      <c r="P669" s="9">
        <v>1.2183999999999999</v>
      </c>
      <c r="Q669" s="9">
        <v>19.688099999999999</v>
      </c>
      <c r="R669" s="9"/>
      <c r="S669" s="11"/>
    </row>
    <row r="670" spans="1:19" ht="15.75">
      <c r="A670" s="13">
        <v>61909</v>
      </c>
      <c r="B670" s="8">
        <f>CHOOSE( CONTROL!$C$32, 25.6309, 25.6253) * CHOOSE(CONTROL!$C$15, $D$11, 100%, $F$11)</f>
        <v>25.6309</v>
      </c>
      <c r="C670" s="8">
        <f>CHOOSE( CONTROL!$C$32, 25.6389, 25.6334) * CHOOSE(CONTROL!$C$15, $D$11, 100%, $F$11)</f>
        <v>25.6389</v>
      </c>
      <c r="D670" s="8">
        <f>CHOOSE( CONTROL!$C$32, 25.6651, 25.6595) * CHOOSE( CONTROL!$C$15, $D$11, 100%, $F$11)</f>
        <v>25.665099999999999</v>
      </c>
      <c r="E670" s="12">
        <f>CHOOSE( CONTROL!$C$32, 25.6544, 25.6488) * CHOOSE( CONTROL!$C$15, $D$11, 100%, $F$11)</f>
        <v>25.654399999999999</v>
      </c>
      <c r="F670" s="4">
        <f>CHOOSE( CONTROL!$C$32, 26.3433, 26.3377) * CHOOSE(CONTROL!$C$15, $D$11, 100%, $F$11)</f>
        <v>26.343299999999999</v>
      </c>
      <c r="G670" s="8">
        <f>CHOOSE( CONTROL!$C$32, 25.0197, 25.0143) * CHOOSE( CONTROL!$C$15, $D$11, 100%, $F$11)</f>
        <v>25.0197</v>
      </c>
      <c r="H670" s="4">
        <f>CHOOSE( CONTROL!$C$32, 25.9643, 25.9589) * CHOOSE(CONTROL!$C$15, $D$11, 100%, $F$11)</f>
        <v>25.964300000000001</v>
      </c>
      <c r="I670" s="8">
        <f>CHOOSE( CONTROL!$C$32, 24.7043, 24.699) * CHOOSE(CONTROL!$C$15, $D$11, 100%, $F$11)</f>
        <v>24.7043</v>
      </c>
      <c r="J670" s="4">
        <f>CHOOSE( CONTROL!$C$32, 24.579, 24.5736) * CHOOSE(CONTROL!$C$15, $D$11, 100%, $F$11)</f>
        <v>24.579000000000001</v>
      </c>
      <c r="K670" s="4"/>
      <c r="L670" s="9">
        <v>29.7257</v>
      </c>
      <c r="M670" s="9">
        <v>11.6745</v>
      </c>
      <c r="N670" s="9">
        <v>4.7850000000000001</v>
      </c>
      <c r="O670" s="9">
        <v>0.36199999999999999</v>
      </c>
      <c r="P670" s="9">
        <v>1.1791</v>
      </c>
      <c r="Q670" s="9">
        <v>19.053000000000001</v>
      </c>
      <c r="R670" s="9"/>
      <c r="S670" s="11"/>
    </row>
    <row r="671" spans="1:19" ht="15.75">
      <c r="A671" s="13">
        <v>61940</v>
      </c>
      <c r="B671" s="8">
        <f>CHOOSE( CONTROL!$C$32, 26.7322, 26.7266) * CHOOSE(CONTROL!$C$15, $D$11, 100%, $F$11)</f>
        <v>26.732199999999999</v>
      </c>
      <c r="C671" s="8">
        <f>CHOOSE( CONTROL!$C$32, 26.7403, 26.7347) * CHOOSE(CONTROL!$C$15, $D$11, 100%, $F$11)</f>
        <v>26.740300000000001</v>
      </c>
      <c r="D671" s="8">
        <f>CHOOSE( CONTROL!$C$32, 26.7666, 26.7611) * CHOOSE( CONTROL!$C$15, $D$11, 100%, $F$11)</f>
        <v>26.7666</v>
      </c>
      <c r="E671" s="12">
        <f>CHOOSE( CONTROL!$C$32, 26.7558, 26.7503) * CHOOSE( CONTROL!$C$15, $D$11, 100%, $F$11)</f>
        <v>26.755800000000001</v>
      </c>
      <c r="F671" s="4">
        <f>CHOOSE( CONTROL!$C$32, 27.4446, 27.439) * CHOOSE(CONTROL!$C$15, $D$11, 100%, $F$11)</f>
        <v>27.444600000000001</v>
      </c>
      <c r="G671" s="8">
        <f>CHOOSE( CONTROL!$C$32, 26.0957, 26.0903) * CHOOSE( CONTROL!$C$15, $D$11, 100%, $F$11)</f>
        <v>26.095700000000001</v>
      </c>
      <c r="H671" s="4">
        <f>CHOOSE( CONTROL!$C$32, 27.04, 27.0346) * CHOOSE(CONTROL!$C$15, $D$11, 100%, $F$11)</f>
        <v>27.04</v>
      </c>
      <c r="I671" s="8">
        <f>CHOOSE( CONTROL!$C$32, 25.7632, 25.7579) * CHOOSE(CONTROL!$C$15, $D$11, 100%, $F$11)</f>
        <v>25.763200000000001</v>
      </c>
      <c r="J671" s="4">
        <f>CHOOSE( CONTROL!$C$32, 25.6364, 25.631) * CHOOSE(CONTROL!$C$15, $D$11, 100%, $F$11)</f>
        <v>25.636399999999998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1.2183999999999999</v>
      </c>
      <c r="Q671" s="9">
        <v>19.688099999999999</v>
      </c>
      <c r="R671" s="9"/>
      <c r="S671" s="11"/>
    </row>
    <row r="672" spans="1:19" ht="15.75">
      <c r="A672" s="13">
        <v>61971</v>
      </c>
      <c r="B672" s="8">
        <f>CHOOSE( CONTROL!$C$32, 24.6715, 24.6659) * CHOOSE(CONTROL!$C$15, $D$11, 100%, $F$11)</f>
        <v>24.671500000000002</v>
      </c>
      <c r="C672" s="8">
        <f>CHOOSE( CONTROL!$C$32, 24.6795, 24.674) * CHOOSE(CONTROL!$C$15, $D$11, 100%, $F$11)</f>
        <v>24.679500000000001</v>
      </c>
      <c r="D672" s="8">
        <f>CHOOSE( CONTROL!$C$32, 24.7059, 24.7004) * CHOOSE( CONTROL!$C$15, $D$11, 100%, $F$11)</f>
        <v>24.7059</v>
      </c>
      <c r="E672" s="12">
        <f>CHOOSE( CONTROL!$C$32, 24.6951, 24.6896) * CHOOSE( CONTROL!$C$15, $D$11, 100%, $F$11)</f>
        <v>24.6951</v>
      </c>
      <c r="F672" s="4">
        <f>CHOOSE( CONTROL!$C$32, 25.3839, 25.3783) * CHOOSE(CONTROL!$C$15, $D$11, 100%, $F$11)</f>
        <v>25.383900000000001</v>
      </c>
      <c r="G672" s="8">
        <f>CHOOSE( CONTROL!$C$32, 24.083, 24.0776) * CHOOSE( CONTROL!$C$15, $D$11, 100%, $F$11)</f>
        <v>24.082999999999998</v>
      </c>
      <c r="H672" s="4">
        <f>CHOOSE( CONTROL!$C$32, 25.0273, 25.0218) * CHOOSE(CONTROL!$C$15, $D$11, 100%, $F$11)</f>
        <v>25.0273</v>
      </c>
      <c r="I672" s="8">
        <f>CHOOSE( CONTROL!$C$32, 23.784, 23.7786) * CHOOSE(CONTROL!$C$15, $D$11, 100%, $F$11)</f>
        <v>23.783999999999999</v>
      </c>
      <c r="J672" s="4">
        <f>CHOOSE( CONTROL!$C$32, 23.6578, 23.6525) * CHOOSE(CONTROL!$C$15, $D$11, 100%, $F$11)</f>
        <v>23.657800000000002</v>
      </c>
      <c r="K672" s="4"/>
      <c r="L672" s="9">
        <v>30.7165</v>
      </c>
      <c r="M672" s="9">
        <v>12.063700000000001</v>
      </c>
      <c r="N672" s="9">
        <v>4.9444999999999997</v>
      </c>
      <c r="O672" s="9">
        <v>0.37409999999999999</v>
      </c>
      <c r="P672" s="9">
        <v>1.2183999999999999</v>
      </c>
      <c r="Q672" s="9">
        <v>19.688099999999999</v>
      </c>
      <c r="R672" s="9"/>
      <c r="S672" s="11"/>
    </row>
    <row r="673" spans="1:19" ht="15.75">
      <c r="A673" s="13">
        <v>62001</v>
      </c>
      <c r="B673" s="8">
        <f>CHOOSE( CONTROL!$C$32, 24.1554, 24.1499) * CHOOSE(CONTROL!$C$15, $D$11, 100%, $F$11)</f>
        <v>24.1554</v>
      </c>
      <c r="C673" s="8">
        <f>CHOOSE( CONTROL!$C$32, 24.1635, 24.1579) * CHOOSE(CONTROL!$C$15, $D$11, 100%, $F$11)</f>
        <v>24.163499999999999</v>
      </c>
      <c r="D673" s="8">
        <f>CHOOSE( CONTROL!$C$32, 24.1899, 24.1843) * CHOOSE( CONTROL!$C$15, $D$11, 100%, $F$11)</f>
        <v>24.189900000000002</v>
      </c>
      <c r="E673" s="12">
        <f>CHOOSE( CONTROL!$C$32, 24.1791, 24.1735) * CHOOSE( CONTROL!$C$15, $D$11, 100%, $F$11)</f>
        <v>24.179099999999998</v>
      </c>
      <c r="F673" s="4">
        <f>CHOOSE( CONTROL!$C$32, 24.8678, 24.8622) * CHOOSE(CONTROL!$C$15, $D$11, 100%, $F$11)</f>
        <v>24.867799999999999</v>
      </c>
      <c r="G673" s="8">
        <f>CHOOSE( CONTROL!$C$32, 23.579, 23.5735) * CHOOSE( CONTROL!$C$15, $D$11, 100%, $F$11)</f>
        <v>23.579000000000001</v>
      </c>
      <c r="H673" s="4">
        <f>CHOOSE( CONTROL!$C$32, 24.5233, 24.5178) * CHOOSE(CONTROL!$C$15, $D$11, 100%, $F$11)</f>
        <v>24.523299999999999</v>
      </c>
      <c r="I673" s="8">
        <f>CHOOSE( CONTROL!$C$32, 23.2881, 23.2827) * CHOOSE(CONTROL!$C$15, $D$11, 100%, $F$11)</f>
        <v>23.2881</v>
      </c>
      <c r="J673" s="4">
        <f>CHOOSE( CONTROL!$C$32, 23.1624, 23.1571) * CHOOSE(CONTROL!$C$15, $D$11, 100%, $F$11)</f>
        <v>23.162400000000002</v>
      </c>
      <c r="K673" s="4"/>
      <c r="L673" s="9">
        <v>29.7257</v>
      </c>
      <c r="M673" s="9">
        <v>11.6745</v>
      </c>
      <c r="N673" s="9">
        <v>4.7850000000000001</v>
      </c>
      <c r="O673" s="9">
        <v>0.36199999999999999</v>
      </c>
      <c r="P673" s="9">
        <v>1.1791</v>
      </c>
      <c r="Q673" s="9">
        <v>19.053000000000001</v>
      </c>
      <c r="R673" s="9"/>
      <c r="S673" s="11"/>
    </row>
    <row r="674" spans="1:19" ht="15.75">
      <c r="A674" s="13">
        <v>62032</v>
      </c>
      <c r="B674" s="8">
        <f>25.2196 * CHOOSE(CONTROL!$C$15, $D$11, 100%, $F$11)</f>
        <v>25.2196</v>
      </c>
      <c r="C674" s="8">
        <f>25.225 * CHOOSE(CONTROL!$C$15, $D$11, 100%, $F$11)</f>
        <v>25.225000000000001</v>
      </c>
      <c r="D674" s="8">
        <f>25.2562 * CHOOSE( CONTROL!$C$15, $D$11, 100%, $F$11)</f>
        <v>25.2562</v>
      </c>
      <c r="E674" s="12">
        <f>25.2453 * CHOOSE( CONTROL!$C$15, $D$11, 100%, $F$11)</f>
        <v>25.2453</v>
      </c>
      <c r="F674" s="4">
        <f>25.9337 * CHOOSE(CONTROL!$C$15, $D$11, 100%, $F$11)</f>
        <v>25.933700000000002</v>
      </c>
      <c r="G674" s="8">
        <f>24.6192 * CHOOSE( CONTROL!$C$15, $D$11, 100%, $F$11)</f>
        <v>24.619199999999999</v>
      </c>
      <c r="H674" s="4">
        <f>25.5643 * CHOOSE(CONTROL!$C$15, $D$11, 100%, $F$11)</f>
        <v>25.564299999999999</v>
      </c>
      <c r="I674" s="8">
        <f>24.3128 * CHOOSE(CONTROL!$C$15, $D$11, 100%, $F$11)</f>
        <v>24.312799999999999</v>
      </c>
      <c r="J674" s="4">
        <f>24.1858 * CHOOSE(CONTROL!$C$15, $D$11, 100%, $F$11)</f>
        <v>24.1858</v>
      </c>
      <c r="K674" s="4"/>
      <c r="L674" s="9">
        <v>31.095300000000002</v>
      </c>
      <c r="M674" s="9">
        <v>12.063700000000001</v>
      </c>
      <c r="N674" s="9">
        <v>4.9444999999999997</v>
      </c>
      <c r="O674" s="9">
        <v>0.37409999999999999</v>
      </c>
      <c r="P674" s="9">
        <v>1.2183999999999999</v>
      </c>
      <c r="Q674" s="9">
        <v>19.688099999999999</v>
      </c>
      <c r="R674" s="9"/>
      <c r="S674" s="11"/>
    </row>
    <row r="675" spans="1:19" ht="15.75">
      <c r="A675" s="13">
        <v>62062</v>
      </c>
      <c r="B675" s="8">
        <f>27.1969 * CHOOSE(CONTROL!$C$15, $D$11, 100%, $F$11)</f>
        <v>27.196899999999999</v>
      </c>
      <c r="C675" s="8">
        <f>27.2021 * CHOOSE(CONTROL!$C$15, $D$11, 100%, $F$11)</f>
        <v>27.202100000000002</v>
      </c>
      <c r="D675" s="8">
        <f>27.1883 * CHOOSE( CONTROL!$C$15, $D$11, 100%, $F$11)</f>
        <v>27.188300000000002</v>
      </c>
      <c r="E675" s="12">
        <f>27.1928 * CHOOSE( CONTROL!$C$15, $D$11, 100%, $F$11)</f>
        <v>27.192799999999998</v>
      </c>
      <c r="F675" s="4">
        <f>27.8474 * CHOOSE(CONTROL!$C$15, $D$11, 100%, $F$11)</f>
        <v>27.8474</v>
      </c>
      <c r="G675" s="8">
        <f>26.5584 * CHOOSE( CONTROL!$C$15, $D$11, 100%, $F$11)</f>
        <v>26.558399999999999</v>
      </c>
      <c r="H675" s="4">
        <f>27.4334 * CHOOSE(CONTROL!$C$15, $D$11, 100%, $F$11)</f>
        <v>27.433399999999999</v>
      </c>
      <c r="I675" s="8">
        <f>26.2562 * CHOOSE(CONTROL!$C$15, $D$11, 100%, $F$11)</f>
        <v>26.2562</v>
      </c>
      <c r="J675" s="4">
        <f>26.0846 * CHOOSE(CONTROL!$C$15, $D$11, 100%, $F$11)</f>
        <v>26.084599999999998</v>
      </c>
      <c r="K675" s="4"/>
      <c r="L675" s="9">
        <v>28.360600000000002</v>
      </c>
      <c r="M675" s="9">
        <v>11.6745</v>
      </c>
      <c r="N675" s="9">
        <v>4.7850000000000001</v>
      </c>
      <c r="O675" s="9">
        <v>0.36199999999999999</v>
      </c>
      <c r="P675" s="9">
        <v>1.2509999999999999</v>
      </c>
      <c r="Q675" s="9">
        <v>19.053000000000001</v>
      </c>
      <c r="R675" s="9"/>
      <c r="S675" s="11"/>
    </row>
    <row r="676" spans="1:19" ht="15.75">
      <c r="A676" s="13">
        <v>62093</v>
      </c>
      <c r="B676" s="8">
        <f>27.1475 * CHOOSE(CONTROL!$C$15, $D$11, 100%, $F$11)</f>
        <v>27.147500000000001</v>
      </c>
      <c r="C676" s="8">
        <f>27.1527 * CHOOSE(CONTROL!$C$15, $D$11, 100%, $F$11)</f>
        <v>27.152699999999999</v>
      </c>
      <c r="D676" s="8">
        <f>27.1404 * CHOOSE( CONTROL!$C$15, $D$11, 100%, $F$11)</f>
        <v>27.1404</v>
      </c>
      <c r="E676" s="12">
        <f>27.1443 * CHOOSE( CONTROL!$C$15, $D$11, 100%, $F$11)</f>
        <v>27.144300000000001</v>
      </c>
      <c r="F676" s="4">
        <f>27.798 * CHOOSE(CONTROL!$C$15, $D$11, 100%, $F$11)</f>
        <v>27.797999999999998</v>
      </c>
      <c r="G676" s="8">
        <f>26.5112 * CHOOSE( CONTROL!$C$15, $D$11, 100%, $F$11)</f>
        <v>26.511199999999999</v>
      </c>
      <c r="H676" s="4">
        <f>27.3851 * CHOOSE(CONTROL!$C$15, $D$11, 100%, $F$11)</f>
        <v>27.385100000000001</v>
      </c>
      <c r="I676" s="8">
        <f>26.2135 * CHOOSE(CONTROL!$C$15, $D$11, 100%, $F$11)</f>
        <v>26.2135</v>
      </c>
      <c r="J676" s="4">
        <f>26.0371 * CHOOSE(CONTROL!$C$15, $D$11, 100%, $F$11)</f>
        <v>26.037099999999999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62124</v>
      </c>
      <c r="B677" s="8">
        <f>28.184 * CHOOSE(CONTROL!$C$15, $D$11, 100%, $F$11)</f>
        <v>28.184000000000001</v>
      </c>
      <c r="C677" s="8">
        <f>28.1892 * CHOOSE(CONTROL!$C$15, $D$11, 100%, $F$11)</f>
        <v>28.1892</v>
      </c>
      <c r="D677" s="8">
        <f>28.1716 * CHOOSE( CONTROL!$C$15, $D$11, 100%, $F$11)</f>
        <v>28.171600000000002</v>
      </c>
      <c r="E677" s="12">
        <f>28.1775 * CHOOSE( CONTROL!$C$15, $D$11, 100%, $F$11)</f>
        <v>28.177499999999998</v>
      </c>
      <c r="F677" s="4">
        <f>28.8344 * CHOOSE(CONTROL!$C$15, $D$11, 100%, $F$11)</f>
        <v>28.834399999999999</v>
      </c>
      <c r="G677" s="8">
        <f>27.5135 * CHOOSE( CONTROL!$C$15, $D$11, 100%, $F$11)</f>
        <v>27.513500000000001</v>
      </c>
      <c r="H677" s="4">
        <f>28.3975 * CHOOSE(CONTROL!$C$15, $D$11, 100%, $F$11)</f>
        <v>28.397500000000001</v>
      </c>
      <c r="I677" s="8">
        <f>27.169 * CHOOSE(CONTROL!$C$15, $D$11, 100%, $F$11)</f>
        <v>27.169</v>
      </c>
      <c r="J677" s="4">
        <f>27.0323 * CHOOSE(CONTROL!$C$15, $D$11, 100%, $F$11)</f>
        <v>27.032299999999999</v>
      </c>
      <c r="K677" s="4"/>
      <c r="L677" s="9">
        <v>29.306000000000001</v>
      </c>
      <c r="M677" s="9">
        <v>12.063700000000001</v>
      </c>
      <c r="N677" s="9">
        <v>4.9444999999999997</v>
      </c>
      <c r="O677" s="9">
        <v>0.37409999999999999</v>
      </c>
      <c r="P677" s="9">
        <v>1.2927</v>
      </c>
      <c r="Q677" s="9">
        <v>19.688099999999999</v>
      </c>
      <c r="R677" s="9"/>
      <c r="S677" s="11"/>
    </row>
    <row r="678" spans="1:19" ht="15.75">
      <c r="A678" s="13">
        <v>62152</v>
      </c>
      <c r="B678" s="8">
        <f>26.3638 * CHOOSE(CONTROL!$C$15, $D$11, 100%, $F$11)</f>
        <v>26.363800000000001</v>
      </c>
      <c r="C678" s="8">
        <f>26.3689 * CHOOSE(CONTROL!$C$15, $D$11, 100%, $F$11)</f>
        <v>26.3689</v>
      </c>
      <c r="D678" s="8">
        <f>26.3513 * CHOOSE( CONTROL!$C$15, $D$11, 100%, $F$11)</f>
        <v>26.351299999999998</v>
      </c>
      <c r="E678" s="12">
        <f>26.3572 * CHOOSE( CONTROL!$C$15, $D$11, 100%, $F$11)</f>
        <v>26.357199999999999</v>
      </c>
      <c r="F678" s="4">
        <f>27.0142 * CHOOSE(CONTROL!$C$15, $D$11, 100%, $F$11)</f>
        <v>27.014199999999999</v>
      </c>
      <c r="G678" s="8">
        <f>25.7357 * CHOOSE( CONTROL!$C$15, $D$11, 100%, $F$11)</f>
        <v>25.735700000000001</v>
      </c>
      <c r="H678" s="4">
        <f>26.6197 * CHOOSE(CONTROL!$C$15, $D$11, 100%, $F$11)</f>
        <v>26.619700000000002</v>
      </c>
      <c r="I678" s="8">
        <f>25.4203 * CHOOSE(CONTROL!$C$15, $D$11, 100%, $F$11)</f>
        <v>25.420300000000001</v>
      </c>
      <c r="J678" s="4">
        <f>25.2847 * CHOOSE(CONTROL!$C$15, $D$11, 100%, $F$11)</f>
        <v>25.284700000000001</v>
      </c>
      <c r="K678" s="4"/>
      <c r="L678" s="9">
        <v>26.469899999999999</v>
      </c>
      <c r="M678" s="9">
        <v>10.8962</v>
      </c>
      <c r="N678" s="9">
        <v>4.4660000000000002</v>
      </c>
      <c r="O678" s="9">
        <v>0.33789999999999998</v>
      </c>
      <c r="P678" s="9">
        <v>1.1676</v>
      </c>
      <c r="Q678" s="9">
        <v>17.782800000000002</v>
      </c>
      <c r="R678" s="9"/>
      <c r="S678" s="11"/>
    </row>
    <row r="679" spans="1:19" ht="15.75">
      <c r="A679" s="13">
        <v>62183</v>
      </c>
      <c r="B679" s="8">
        <f>25.8031 * CHOOSE(CONTROL!$C$15, $D$11, 100%, $F$11)</f>
        <v>25.803100000000001</v>
      </c>
      <c r="C679" s="8">
        <f>25.8083 * CHOOSE(CONTROL!$C$15, $D$11, 100%, $F$11)</f>
        <v>25.808299999999999</v>
      </c>
      <c r="D679" s="8">
        <f>25.7903 * CHOOSE( CONTROL!$C$15, $D$11, 100%, $F$11)</f>
        <v>25.790299999999998</v>
      </c>
      <c r="E679" s="12">
        <f>25.7963 * CHOOSE( CONTROL!$C$15, $D$11, 100%, $F$11)</f>
        <v>25.796299999999999</v>
      </c>
      <c r="F679" s="4">
        <f>26.4536 * CHOOSE(CONTROL!$C$15, $D$11, 100%, $F$11)</f>
        <v>26.453600000000002</v>
      </c>
      <c r="G679" s="8">
        <f>25.1878 * CHOOSE( CONTROL!$C$15, $D$11, 100%, $F$11)</f>
        <v>25.187799999999999</v>
      </c>
      <c r="H679" s="4">
        <f>26.0721 * CHOOSE(CONTROL!$C$15, $D$11, 100%, $F$11)</f>
        <v>26.072099999999999</v>
      </c>
      <c r="I679" s="8">
        <f>24.8806 * CHOOSE(CONTROL!$C$15, $D$11, 100%, $F$11)</f>
        <v>24.880600000000001</v>
      </c>
      <c r="J679" s="4">
        <f>24.7464 * CHOOSE(CONTROL!$C$15, $D$11, 100%, $F$11)</f>
        <v>24.746400000000001</v>
      </c>
      <c r="K679" s="4"/>
      <c r="L679" s="9">
        <v>29.306000000000001</v>
      </c>
      <c r="M679" s="9">
        <v>12.063700000000001</v>
      </c>
      <c r="N679" s="9">
        <v>4.9444999999999997</v>
      </c>
      <c r="O679" s="9">
        <v>0.37409999999999999</v>
      </c>
      <c r="P679" s="9">
        <v>1.2927</v>
      </c>
      <c r="Q679" s="9">
        <v>19.688099999999999</v>
      </c>
      <c r="R679" s="9"/>
      <c r="S679" s="11"/>
    </row>
    <row r="680" spans="1:19" ht="15.75">
      <c r="A680" s="13">
        <v>62213</v>
      </c>
      <c r="B680" s="8">
        <f>26.1957 * CHOOSE(CONTROL!$C$15, $D$11, 100%, $F$11)</f>
        <v>26.195699999999999</v>
      </c>
      <c r="C680" s="8">
        <f>26.2003 * CHOOSE(CONTROL!$C$15, $D$11, 100%, $F$11)</f>
        <v>26.200299999999999</v>
      </c>
      <c r="D680" s="8">
        <f>26.2314 * CHOOSE( CONTROL!$C$15, $D$11, 100%, $F$11)</f>
        <v>26.231400000000001</v>
      </c>
      <c r="E680" s="12">
        <f>26.2206 * CHOOSE( CONTROL!$C$15, $D$11, 100%, $F$11)</f>
        <v>26.220600000000001</v>
      </c>
      <c r="F680" s="4">
        <f>26.9094 * CHOOSE(CONTROL!$C$15, $D$11, 100%, $F$11)</f>
        <v>26.909400000000002</v>
      </c>
      <c r="G680" s="8">
        <f>25.5713 * CHOOSE( CONTROL!$C$15, $D$11, 100%, $F$11)</f>
        <v>25.571300000000001</v>
      </c>
      <c r="H680" s="4">
        <f>26.5173 * CHOOSE(CONTROL!$C$15, $D$11, 100%, $F$11)</f>
        <v>26.517299999999999</v>
      </c>
      <c r="I680" s="8">
        <f>25.2474 * CHOOSE(CONTROL!$C$15, $D$11, 100%, $F$11)</f>
        <v>25.247399999999999</v>
      </c>
      <c r="J680" s="4">
        <f>25.1225 * CHOOSE(CONTROL!$C$15, $D$11, 100%, $F$11)</f>
        <v>25.122499999999999</v>
      </c>
      <c r="K680" s="4"/>
      <c r="L680" s="9">
        <v>30.092199999999998</v>
      </c>
      <c r="M680" s="9">
        <v>11.6745</v>
      </c>
      <c r="N680" s="9">
        <v>4.7850000000000001</v>
      </c>
      <c r="O680" s="9">
        <v>0.36199999999999999</v>
      </c>
      <c r="P680" s="9">
        <v>1.1791</v>
      </c>
      <c r="Q680" s="9">
        <v>19.053000000000001</v>
      </c>
      <c r="R680" s="9"/>
      <c r="S680" s="11"/>
    </row>
    <row r="681" spans="1:19" ht="15.75">
      <c r="A681" s="13">
        <v>62244</v>
      </c>
      <c r="B681" s="8">
        <f>CHOOSE( CONTROL!$C$32, 26.8998, 26.8942) * CHOOSE(CONTROL!$C$15, $D$11, 100%, $F$11)</f>
        <v>26.899799999999999</v>
      </c>
      <c r="C681" s="8">
        <f>CHOOSE( CONTROL!$C$32, 26.9079, 26.9023) * CHOOSE(CONTROL!$C$15, $D$11, 100%, $F$11)</f>
        <v>26.907900000000001</v>
      </c>
      <c r="D681" s="8">
        <f>CHOOSE( CONTROL!$C$32, 26.9339, 26.9283) * CHOOSE( CONTROL!$C$15, $D$11, 100%, $F$11)</f>
        <v>26.933900000000001</v>
      </c>
      <c r="E681" s="12">
        <f>CHOOSE( CONTROL!$C$32, 26.9232, 26.9176) * CHOOSE( CONTROL!$C$15, $D$11, 100%, $F$11)</f>
        <v>26.923200000000001</v>
      </c>
      <c r="F681" s="4">
        <f>CHOOSE( CONTROL!$C$32, 27.6122, 27.6066) * CHOOSE(CONTROL!$C$15, $D$11, 100%, $F$11)</f>
        <v>27.612200000000001</v>
      </c>
      <c r="G681" s="8">
        <f>CHOOSE( CONTROL!$C$32, 26.2588, 26.2534) * CHOOSE( CONTROL!$C$15, $D$11, 100%, $F$11)</f>
        <v>26.258800000000001</v>
      </c>
      <c r="H681" s="4">
        <f>CHOOSE( CONTROL!$C$32, 27.2037, 27.1983) * CHOOSE(CONTROL!$C$15, $D$11, 100%, $F$11)</f>
        <v>27.203700000000001</v>
      </c>
      <c r="I681" s="8">
        <f>CHOOSE( CONTROL!$C$32, 25.9225, 25.9171) * CHOOSE(CONTROL!$C$15, $D$11, 100%, $F$11)</f>
        <v>25.922499999999999</v>
      </c>
      <c r="J681" s="4">
        <f>CHOOSE( CONTROL!$C$32, 25.7973, 25.7919) * CHOOSE(CONTROL!$C$15, $D$11, 100%, $F$11)</f>
        <v>25.7973</v>
      </c>
      <c r="K681" s="4"/>
      <c r="L681" s="9">
        <v>30.7165</v>
      </c>
      <c r="M681" s="9">
        <v>12.063700000000001</v>
      </c>
      <c r="N681" s="9">
        <v>4.9444999999999997</v>
      </c>
      <c r="O681" s="9">
        <v>0.37409999999999999</v>
      </c>
      <c r="P681" s="9">
        <v>1.2183999999999999</v>
      </c>
      <c r="Q681" s="9">
        <v>19.688099999999999</v>
      </c>
      <c r="R681" s="9"/>
      <c r="S681" s="11"/>
    </row>
    <row r="682" spans="1:19" ht="15.75">
      <c r="A682" s="13">
        <v>62274</v>
      </c>
      <c r="B682" s="8">
        <f>CHOOSE( CONTROL!$C$32, 26.4679, 26.4623) * CHOOSE(CONTROL!$C$15, $D$11, 100%, $F$11)</f>
        <v>26.4679</v>
      </c>
      <c r="C682" s="8">
        <f>CHOOSE( CONTROL!$C$32, 26.476, 26.4704) * CHOOSE(CONTROL!$C$15, $D$11, 100%, $F$11)</f>
        <v>26.475999999999999</v>
      </c>
      <c r="D682" s="8">
        <f>CHOOSE( CONTROL!$C$32, 26.5021, 26.4966) * CHOOSE( CONTROL!$C$15, $D$11, 100%, $F$11)</f>
        <v>26.502099999999999</v>
      </c>
      <c r="E682" s="12">
        <f>CHOOSE( CONTROL!$C$32, 26.4914, 26.4859) * CHOOSE( CONTROL!$C$15, $D$11, 100%, $F$11)</f>
        <v>26.491399999999999</v>
      </c>
      <c r="F682" s="4">
        <f>CHOOSE( CONTROL!$C$32, 27.1803, 27.1747) * CHOOSE(CONTROL!$C$15, $D$11, 100%, $F$11)</f>
        <v>27.180299999999999</v>
      </c>
      <c r="G682" s="8">
        <f>CHOOSE( CONTROL!$C$32, 25.8373, 25.8318) * CHOOSE( CONTROL!$C$15, $D$11, 100%, $F$11)</f>
        <v>25.837299999999999</v>
      </c>
      <c r="H682" s="4">
        <f>CHOOSE( CONTROL!$C$32, 26.7819, 26.7764) * CHOOSE(CONTROL!$C$15, $D$11, 100%, $F$11)</f>
        <v>26.7819</v>
      </c>
      <c r="I682" s="8">
        <f>CHOOSE( CONTROL!$C$32, 25.5084, 25.503) * CHOOSE(CONTROL!$C$15, $D$11, 100%, $F$11)</f>
        <v>25.508400000000002</v>
      </c>
      <c r="J682" s="4">
        <f>CHOOSE( CONTROL!$C$32, 25.3826, 25.3773) * CHOOSE(CONTROL!$C$15, $D$11, 100%, $F$11)</f>
        <v>25.3826</v>
      </c>
      <c r="K682" s="4"/>
      <c r="L682" s="9">
        <v>29.7257</v>
      </c>
      <c r="M682" s="9">
        <v>11.6745</v>
      </c>
      <c r="N682" s="9">
        <v>4.7850000000000001</v>
      </c>
      <c r="O682" s="9">
        <v>0.36199999999999999</v>
      </c>
      <c r="P682" s="9">
        <v>1.1791</v>
      </c>
      <c r="Q682" s="9">
        <v>19.053000000000001</v>
      </c>
      <c r="R682" s="9"/>
      <c r="S682" s="11"/>
    </row>
    <row r="683" spans="1:19" ht="15.75">
      <c r="A683" s="13">
        <v>62305</v>
      </c>
      <c r="B683" s="8">
        <f>CHOOSE( CONTROL!$C$32, 27.6053, 27.5997) * CHOOSE(CONTROL!$C$15, $D$11, 100%, $F$11)</f>
        <v>27.6053</v>
      </c>
      <c r="C683" s="8">
        <f>CHOOSE( CONTROL!$C$32, 27.6134, 27.6078) * CHOOSE(CONTROL!$C$15, $D$11, 100%, $F$11)</f>
        <v>27.613399999999999</v>
      </c>
      <c r="D683" s="8">
        <f>CHOOSE( CONTROL!$C$32, 27.6397, 27.6341) * CHOOSE( CONTROL!$C$15, $D$11, 100%, $F$11)</f>
        <v>27.639700000000001</v>
      </c>
      <c r="E683" s="12">
        <f>CHOOSE( CONTROL!$C$32, 27.6289, 27.6233) * CHOOSE( CONTROL!$C$15, $D$11, 100%, $F$11)</f>
        <v>27.628900000000002</v>
      </c>
      <c r="F683" s="4">
        <f>CHOOSE( CONTROL!$C$32, 28.3177, 28.3121) * CHOOSE(CONTROL!$C$15, $D$11, 100%, $F$11)</f>
        <v>28.317699999999999</v>
      </c>
      <c r="G683" s="8">
        <f>CHOOSE( CONTROL!$C$32, 26.9484, 26.943) * CHOOSE( CONTROL!$C$15, $D$11, 100%, $F$11)</f>
        <v>26.948399999999999</v>
      </c>
      <c r="H683" s="4">
        <f>CHOOSE( CONTROL!$C$32, 27.8927, 27.8873) * CHOOSE(CONTROL!$C$15, $D$11, 100%, $F$11)</f>
        <v>27.892700000000001</v>
      </c>
      <c r="I683" s="8">
        <f>CHOOSE( CONTROL!$C$32, 26.6019, 26.5965) * CHOOSE(CONTROL!$C$15, $D$11, 100%, $F$11)</f>
        <v>26.601900000000001</v>
      </c>
      <c r="J683" s="4">
        <f>CHOOSE( CONTROL!$C$32, 26.4746, 26.4693) * CHOOSE(CONTROL!$C$15, $D$11, 100%, $F$11)</f>
        <v>26.474599999999999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1.2183999999999999</v>
      </c>
      <c r="Q683" s="9">
        <v>19.688099999999999</v>
      </c>
      <c r="R683" s="9"/>
      <c r="S683" s="11"/>
    </row>
    <row r="684" spans="1:19" ht="15.75">
      <c r="A684" s="13">
        <v>62336</v>
      </c>
      <c r="B684" s="8">
        <f>CHOOSE( CONTROL!$C$32, 25.4771, 25.4716) * CHOOSE(CONTROL!$C$15, $D$11, 100%, $F$11)</f>
        <v>25.4771</v>
      </c>
      <c r="C684" s="8">
        <f>CHOOSE( CONTROL!$C$32, 25.4852, 25.4797) * CHOOSE(CONTROL!$C$15, $D$11, 100%, $F$11)</f>
        <v>25.485199999999999</v>
      </c>
      <c r="D684" s="8">
        <f>CHOOSE( CONTROL!$C$32, 25.5116, 25.5061) * CHOOSE( CONTROL!$C$15, $D$11, 100%, $F$11)</f>
        <v>25.511600000000001</v>
      </c>
      <c r="E684" s="12">
        <f>CHOOSE( CONTROL!$C$32, 25.5008, 25.4953) * CHOOSE( CONTROL!$C$15, $D$11, 100%, $F$11)</f>
        <v>25.500800000000002</v>
      </c>
      <c r="F684" s="4">
        <f>CHOOSE( CONTROL!$C$32, 26.1895, 26.184) * CHOOSE(CONTROL!$C$15, $D$11, 100%, $F$11)</f>
        <v>26.189499999999999</v>
      </c>
      <c r="G684" s="8">
        <f>CHOOSE( CONTROL!$C$32, 24.87, 24.8645) * CHOOSE( CONTROL!$C$15, $D$11, 100%, $F$11)</f>
        <v>24.87</v>
      </c>
      <c r="H684" s="4">
        <f>CHOOSE( CONTROL!$C$32, 25.8142, 25.8087) * CHOOSE(CONTROL!$C$15, $D$11, 100%, $F$11)</f>
        <v>25.8142</v>
      </c>
      <c r="I684" s="8">
        <f>CHOOSE( CONTROL!$C$32, 24.5579, 24.5526) * CHOOSE(CONTROL!$C$15, $D$11, 100%, $F$11)</f>
        <v>24.5579</v>
      </c>
      <c r="J684" s="4">
        <f>CHOOSE( CONTROL!$C$32, 24.4314, 24.426) * CHOOSE(CONTROL!$C$15, $D$11, 100%, $F$11)</f>
        <v>24.4314</v>
      </c>
      <c r="K684" s="4"/>
      <c r="L684" s="9">
        <v>30.7165</v>
      </c>
      <c r="M684" s="9">
        <v>12.063700000000001</v>
      </c>
      <c r="N684" s="9">
        <v>4.9444999999999997</v>
      </c>
      <c r="O684" s="9">
        <v>0.37409999999999999</v>
      </c>
      <c r="P684" s="9">
        <v>1.2183999999999999</v>
      </c>
      <c r="Q684" s="9">
        <v>19.688099999999999</v>
      </c>
      <c r="R684" s="9"/>
      <c r="S684" s="11"/>
    </row>
    <row r="685" spans="1:19" ht="15.75">
      <c r="A685" s="13">
        <v>62366</v>
      </c>
      <c r="B685" s="8">
        <f>CHOOSE( CONTROL!$C$32, 24.9442, 24.9387) * CHOOSE(CONTROL!$C$15, $D$11, 100%, $F$11)</f>
        <v>24.944199999999999</v>
      </c>
      <c r="C685" s="8">
        <f>CHOOSE( CONTROL!$C$32, 24.9523, 24.9467) * CHOOSE(CONTROL!$C$15, $D$11, 100%, $F$11)</f>
        <v>24.952300000000001</v>
      </c>
      <c r="D685" s="8">
        <f>CHOOSE( CONTROL!$C$32, 24.9787, 24.9731) * CHOOSE( CONTROL!$C$15, $D$11, 100%, $F$11)</f>
        <v>24.9787</v>
      </c>
      <c r="E685" s="12">
        <f>CHOOSE( CONTROL!$C$32, 24.9679, 24.9623) * CHOOSE( CONTROL!$C$15, $D$11, 100%, $F$11)</f>
        <v>24.9679</v>
      </c>
      <c r="F685" s="4">
        <f>CHOOSE( CONTROL!$C$32, 25.6566, 25.651) * CHOOSE(CONTROL!$C$15, $D$11, 100%, $F$11)</f>
        <v>25.656600000000001</v>
      </c>
      <c r="G685" s="8">
        <f>CHOOSE( CONTROL!$C$32, 24.3494, 24.3439) * CHOOSE( CONTROL!$C$15, $D$11, 100%, $F$11)</f>
        <v>24.349399999999999</v>
      </c>
      <c r="H685" s="4">
        <f>CHOOSE( CONTROL!$C$32, 25.2937, 25.2882) * CHOOSE(CONTROL!$C$15, $D$11, 100%, $F$11)</f>
        <v>25.293700000000001</v>
      </c>
      <c r="I685" s="8">
        <f>CHOOSE( CONTROL!$C$32, 24.0458, 24.0404) * CHOOSE(CONTROL!$C$15, $D$11, 100%, $F$11)</f>
        <v>24.0458</v>
      </c>
      <c r="J685" s="4">
        <f>CHOOSE( CONTROL!$C$32, 23.9197, 23.9144) * CHOOSE(CONTROL!$C$15, $D$11, 100%, $F$11)</f>
        <v>23.919699999999999</v>
      </c>
      <c r="K685" s="4"/>
      <c r="L685" s="9">
        <v>29.7257</v>
      </c>
      <c r="M685" s="9">
        <v>11.6745</v>
      </c>
      <c r="N685" s="9">
        <v>4.7850000000000001</v>
      </c>
      <c r="O685" s="9">
        <v>0.36199999999999999</v>
      </c>
      <c r="P685" s="9">
        <v>1.1791</v>
      </c>
      <c r="Q685" s="9">
        <v>19.053000000000001</v>
      </c>
      <c r="R685" s="9"/>
      <c r="S685" s="11"/>
    </row>
    <row r="686" spans="1:19" ht="15.75">
      <c r="A686" s="13">
        <v>62397</v>
      </c>
      <c r="B686" s="8">
        <f>26.0434 * CHOOSE(CONTROL!$C$15, $D$11, 100%, $F$11)</f>
        <v>26.043399999999998</v>
      </c>
      <c r="C686" s="8">
        <f>26.0489 * CHOOSE(CONTROL!$C$15, $D$11, 100%, $F$11)</f>
        <v>26.0489</v>
      </c>
      <c r="D686" s="8">
        <f>26.0801 * CHOOSE( CONTROL!$C$15, $D$11, 100%, $F$11)</f>
        <v>26.080100000000002</v>
      </c>
      <c r="E686" s="12">
        <f>26.0692 * CHOOSE( CONTROL!$C$15, $D$11, 100%, $F$11)</f>
        <v>26.069199999999999</v>
      </c>
      <c r="F686" s="4">
        <f>26.7576 * CHOOSE(CONTROL!$C$15, $D$11, 100%, $F$11)</f>
        <v>26.7576</v>
      </c>
      <c r="G686" s="8">
        <f>25.4238 * CHOOSE( CONTROL!$C$15, $D$11, 100%, $F$11)</f>
        <v>25.4238</v>
      </c>
      <c r="H686" s="4">
        <f>26.369 * CHOOSE(CONTROL!$C$15, $D$11, 100%, $F$11)</f>
        <v>26.369</v>
      </c>
      <c r="I686" s="8">
        <f>25.1042 * CHOOSE(CONTROL!$C$15, $D$11, 100%, $F$11)</f>
        <v>25.104199999999999</v>
      </c>
      <c r="J686" s="4">
        <f>24.9767 * CHOOSE(CONTROL!$C$15, $D$11, 100%, $F$11)</f>
        <v>24.976700000000001</v>
      </c>
      <c r="K686" s="4"/>
      <c r="L686" s="9">
        <v>31.095300000000002</v>
      </c>
      <c r="M686" s="9">
        <v>12.063700000000001</v>
      </c>
      <c r="N686" s="9">
        <v>4.9444999999999997</v>
      </c>
      <c r="O686" s="9">
        <v>0.37409999999999999</v>
      </c>
      <c r="P686" s="9">
        <v>1.2183999999999999</v>
      </c>
      <c r="Q686" s="9">
        <v>19.688099999999999</v>
      </c>
      <c r="R686" s="9"/>
      <c r="S686" s="11"/>
    </row>
    <row r="687" spans="1:19" ht="15.75">
      <c r="A687" s="13">
        <v>62427</v>
      </c>
      <c r="B687" s="8">
        <f>28.0854 * CHOOSE(CONTROL!$C$15, $D$11, 100%, $F$11)</f>
        <v>28.0854</v>
      </c>
      <c r="C687" s="8">
        <f>28.0906 * CHOOSE(CONTROL!$C$15, $D$11, 100%, $F$11)</f>
        <v>28.090599999999998</v>
      </c>
      <c r="D687" s="8">
        <f>28.0768 * CHOOSE( CONTROL!$C$15, $D$11, 100%, $F$11)</f>
        <v>28.076799999999999</v>
      </c>
      <c r="E687" s="12">
        <f>28.0813 * CHOOSE( CONTROL!$C$15, $D$11, 100%, $F$11)</f>
        <v>28.081299999999999</v>
      </c>
      <c r="F687" s="4">
        <f>28.7359 * CHOOSE(CONTROL!$C$15, $D$11, 100%, $F$11)</f>
        <v>28.735900000000001</v>
      </c>
      <c r="G687" s="8">
        <f>27.4262 * CHOOSE( CONTROL!$C$15, $D$11, 100%, $F$11)</f>
        <v>27.426200000000001</v>
      </c>
      <c r="H687" s="4">
        <f>28.3012 * CHOOSE(CONTROL!$C$15, $D$11, 100%, $F$11)</f>
        <v>28.301200000000001</v>
      </c>
      <c r="I687" s="8">
        <f>27.1097 * CHOOSE(CONTROL!$C$15, $D$11, 100%, $F$11)</f>
        <v>27.1097</v>
      </c>
      <c r="J687" s="4">
        <f>26.9376 * CHOOSE(CONTROL!$C$15, $D$11, 100%, $F$11)</f>
        <v>26.9376</v>
      </c>
      <c r="K687" s="4"/>
      <c r="L687" s="9">
        <v>28.360600000000002</v>
      </c>
      <c r="M687" s="9">
        <v>11.6745</v>
      </c>
      <c r="N687" s="9">
        <v>4.7850000000000001</v>
      </c>
      <c r="O687" s="9">
        <v>0.36199999999999999</v>
      </c>
      <c r="P687" s="9">
        <v>1.2509999999999999</v>
      </c>
      <c r="Q687" s="9">
        <v>19.053000000000001</v>
      </c>
      <c r="R687" s="9"/>
      <c r="S687" s="11"/>
    </row>
    <row r="688" spans="1:19" ht="15.75">
      <c r="A688" s="13">
        <v>62458</v>
      </c>
      <c r="B688" s="8">
        <f>28.0344 * CHOOSE(CONTROL!$C$15, $D$11, 100%, $F$11)</f>
        <v>28.034400000000002</v>
      </c>
      <c r="C688" s="8">
        <f>28.0396 * CHOOSE(CONTROL!$C$15, $D$11, 100%, $F$11)</f>
        <v>28.0396</v>
      </c>
      <c r="D688" s="8">
        <f>28.0273 * CHOOSE( CONTROL!$C$15, $D$11, 100%, $F$11)</f>
        <v>28.0273</v>
      </c>
      <c r="E688" s="12">
        <f>28.0312 * CHOOSE( CONTROL!$C$15, $D$11, 100%, $F$11)</f>
        <v>28.031199999999998</v>
      </c>
      <c r="F688" s="4">
        <f>28.6849 * CHOOSE(CONTROL!$C$15, $D$11, 100%, $F$11)</f>
        <v>28.684899999999999</v>
      </c>
      <c r="G688" s="8">
        <f>27.3775 * CHOOSE( CONTROL!$C$15, $D$11, 100%, $F$11)</f>
        <v>27.377500000000001</v>
      </c>
      <c r="H688" s="4">
        <f>28.2514 * CHOOSE(CONTROL!$C$15, $D$11, 100%, $F$11)</f>
        <v>28.2514</v>
      </c>
      <c r="I688" s="8">
        <f>27.0654 * CHOOSE(CONTROL!$C$15, $D$11, 100%, $F$11)</f>
        <v>27.0654</v>
      </c>
      <c r="J688" s="4">
        <f>26.8886 * CHOOSE(CONTROL!$C$15, $D$11, 100%, $F$11)</f>
        <v>26.8886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62489</v>
      </c>
      <c r="B689" s="8">
        <f>29.1048 * CHOOSE(CONTROL!$C$15, $D$11, 100%, $F$11)</f>
        <v>29.104800000000001</v>
      </c>
      <c r="C689" s="8">
        <f>29.11 * CHOOSE(CONTROL!$C$15, $D$11, 100%, $F$11)</f>
        <v>29.11</v>
      </c>
      <c r="D689" s="8">
        <f>29.0924 * CHOOSE( CONTROL!$C$15, $D$11, 100%, $F$11)</f>
        <v>29.092400000000001</v>
      </c>
      <c r="E689" s="12">
        <f>29.0983 * CHOOSE( CONTROL!$C$15, $D$11, 100%, $F$11)</f>
        <v>29.098299999999998</v>
      </c>
      <c r="F689" s="4">
        <f>29.7552 * CHOOSE(CONTROL!$C$15, $D$11, 100%, $F$11)</f>
        <v>29.755199999999999</v>
      </c>
      <c r="G689" s="8">
        <f>28.4129 * CHOOSE( CONTROL!$C$15, $D$11, 100%, $F$11)</f>
        <v>28.4129</v>
      </c>
      <c r="H689" s="4">
        <f>29.2968 * CHOOSE(CONTROL!$C$15, $D$11, 100%, $F$11)</f>
        <v>29.296800000000001</v>
      </c>
      <c r="I689" s="8">
        <f>28.0535 * CHOOSE(CONTROL!$C$15, $D$11, 100%, $F$11)</f>
        <v>28.0535</v>
      </c>
      <c r="J689" s="4">
        <f>27.9163 * CHOOSE(CONTROL!$C$15, $D$11, 100%, $F$11)</f>
        <v>27.9163</v>
      </c>
      <c r="K689" s="4"/>
      <c r="L689" s="9">
        <v>29.306000000000001</v>
      </c>
      <c r="M689" s="9">
        <v>12.063700000000001</v>
      </c>
      <c r="N689" s="9">
        <v>4.9444999999999997</v>
      </c>
      <c r="O689" s="9">
        <v>0.37409999999999999</v>
      </c>
      <c r="P689" s="9">
        <v>1.2927</v>
      </c>
      <c r="Q689" s="9">
        <v>19.688099999999999</v>
      </c>
      <c r="R689" s="9"/>
      <c r="S689" s="11"/>
    </row>
    <row r="690" spans="1:19" ht="15.75">
      <c r="A690" s="13">
        <v>62517</v>
      </c>
      <c r="B690" s="8">
        <f>27.225 * CHOOSE(CONTROL!$C$15, $D$11, 100%, $F$11)</f>
        <v>27.225000000000001</v>
      </c>
      <c r="C690" s="8">
        <f>27.2302 * CHOOSE(CONTROL!$C$15, $D$11, 100%, $F$11)</f>
        <v>27.2302</v>
      </c>
      <c r="D690" s="8">
        <f>27.2126 * CHOOSE( CONTROL!$C$15, $D$11, 100%, $F$11)</f>
        <v>27.212599999999998</v>
      </c>
      <c r="E690" s="12">
        <f>27.2185 * CHOOSE( CONTROL!$C$15, $D$11, 100%, $F$11)</f>
        <v>27.218499999999999</v>
      </c>
      <c r="F690" s="4">
        <f>27.8755 * CHOOSE(CONTROL!$C$15, $D$11, 100%, $F$11)</f>
        <v>27.875499999999999</v>
      </c>
      <c r="G690" s="8">
        <f>26.5769 * CHOOSE( CONTROL!$C$15, $D$11, 100%, $F$11)</f>
        <v>26.576899999999998</v>
      </c>
      <c r="H690" s="4">
        <f>27.4609 * CHOOSE(CONTROL!$C$15, $D$11, 100%, $F$11)</f>
        <v>27.460899999999999</v>
      </c>
      <c r="I690" s="8">
        <f>26.2476 * CHOOSE(CONTROL!$C$15, $D$11, 100%, $F$11)</f>
        <v>26.247599999999998</v>
      </c>
      <c r="J690" s="4">
        <f>26.1116 * CHOOSE(CONTROL!$C$15, $D$11, 100%, $F$11)</f>
        <v>26.111599999999999</v>
      </c>
      <c r="K690" s="4"/>
      <c r="L690" s="9">
        <v>26.469899999999999</v>
      </c>
      <c r="M690" s="9">
        <v>10.8962</v>
      </c>
      <c r="N690" s="9">
        <v>4.4660000000000002</v>
      </c>
      <c r="O690" s="9">
        <v>0.33789999999999998</v>
      </c>
      <c r="P690" s="9">
        <v>1.1676</v>
      </c>
      <c r="Q690" s="9">
        <v>17.782800000000002</v>
      </c>
      <c r="R690" s="9"/>
      <c r="S690" s="11"/>
    </row>
    <row r="691" spans="1:19" ht="15.75">
      <c r="A691" s="13">
        <v>62548</v>
      </c>
      <c r="B691" s="8">
        <f>26.6461 * CHOOSE(CONTROL!$C$15, $D$11, 100%, $F$11)</f>
        <v>26.646100000000001</v>
      </c>
      <c r="C691" s="8">
        <f>26.6513 * CHOOSE(CONTROL!$C$15, $D$11, 100%, $F$11)</f>
        <v>26.651299999999999</v>
      </c>
      <c r="D691" s="8">
        <f>26.6333 * CHOOSE( CONTROL!$C$15, $D$11, 100%, $F$11)</f>
        <v>26.633299999999998</v>
      </c>
      <c r="E691" s="12">
        <f>26.6393 * CHOOSE( CONTROL!$C$15, $D$11, 100%, $F$11)</f>
        <v>26.639299999999999</v>
      </c>
      <c r="F691" s="4">
        <f>27.2965 * CHOOSE(CONTROL!$C$15, $D$11, 100%, $F$11)</f>
        <v>27.296500000000002</v>
      </c>
      <c r="G691" s="8">
        <f>26.0111 * CHOOSE( CONTROL!$C$15, $D$11, 100%, $F$11)</f>
        <v>26.011099999999999</v>
      </c>
      <c r="H691" s="4">
        <f>26.8954 * CHOOSE(CONTROL!$C$15, $D$11, 100%, $F$11)</f>
        <v>26.895399999999999</v>
      </c>
      <c r="I691" s="8">
        <f>25.6903 * CHOOSE(CONTROL!$C$15, $D$11, 100%, $F$11)</f>
        <v>25.690300000000001</v>
      </c>
      <c r="J691" s="4">
        <f>25.5557 * CHOOSE(CONTROL!$C$15, $D$11, 100%, $F$11)</f>
        <v>25.555700000000002</v>
      </c>
      <c r="K691" s="4"/>
      <c r="L691" s="9">
        <v>29.306000000000001</v>
      </c>
      <c r="M691" s="9">
        <v>12.063700000000001</v>
      </c>
      <c r="N691" s="9">
        <v>4.9444999999999997</v>
      </c>
      <c r="O691" s="9">
        <v>0.37409999999999999</v>
      </c>
      <c r="P691" s="9">
        <v>1.2927</v>
      </c>
      <c r="Q691" s="9">
        <v>19.688099999999999</v>
      </c>
      <c r="R691" s="9"/>
      <c r="S691" s="11"/>
    </row>
    <row r="692" spans="1:19" ht="15.75">
      <c r="A692" s="13">
        <v>62578</v>
      </c>
      <c r="B692" s="8">
        <f>27.0514 * CHOOSE(CONTROL!$C$15, $D$11, 100%, $F$11)</f>
        <v>27.051400000000001</v>
      </c>
      <c r="C692" s="8">
        <f>27.056 * CHOOSE(CONTROL!$C$15, $D$11, 100%, $F$11)</f>
        <v>27.056000000000001</v>
      </c>
      <c r="D692" s="8">
        <f>27.0871 * CHOOSE( CONTROL!$C$15, $D$11, 100%, $F$11)</f>
        <v>27.0871</v>
      </c>
      <c r="E692" s="12">
        <f>27.0763 * CHOOSE( CONTROL!$C$15, $D$11, 100%, $F$11)</f>
        <v>27.0763</v>
      </c>
      <c r="F692" s="4">
        <f>27.7652 * CHOOSE(CONTROL!$C$15, $D$11, 100%, $F$11)</f>
        <v>27.7652</v>
      </c>
      <c r="G692" s="8">
        <f>26.4071 * CHOOSE( CONTROL!$C$15, $D$11, 100%, $F$11)</f>
        <v>26.4071</v>
      </c>
      <c r="H692" s="4">
        <f>27.3531 * CHOOSE(CONTROL!$C$15, $D$11, 100%, $F$11)</f>
        <v>27.353100000000001</v>
      </c>
      <c r="I692" s="8">
        <f>26.0694 * CHOOSE(CONTROL!$C$15, $D$11, 100%, $F$11)</f>
        <v>26.069400000000002</v>
      </c>
      <c r="J692" s="4">
        <f>25.9441 * CHOOSE(CONTROL!$C$15, $D$11, 100%, $F$11)</f>
        <v>25.944099999999999</v>
      </c>
      <c r="K692" s="4"/>
      <c r="L692" s="9">
        <v>30.092199999999998</v>
      </c>
      <c r="M692" s="9">
        <v>11.6745</v>
      </c>
      <c r="N692" s="9">
        <v>4.7850000000000001</v>
      </c>
      <c r="O692" s="9">
        <v>0.36199999999999999</v>
      </c>
      <c r="P692" s="9">
        <v>1.1791</v>
      </c>
      <c r="Q692" s="9">
        <v>19.053000000000001</v>
      </c>
      <c r="R692" s="9"/>
      <c r="S692" s="11"/>
    </row>
    <row r="693" spans="1:19" ht="15.75">
      <c r="A693" s="13">
        <v>62609</v>
      </c>
      <c r="B693" s="8">
        <f>CHOOSE( CONTROL!$C$32, 27.7784, 27.7728) * CHOOSE(CONTROL!$C$15, $D$11, 100%, $F$11)</f>
        <v>27.778400000000001</v>
      </c>
      <c r="C693" s="8">
        <f>CHOOSE( CONTROL!$C$32, 27.7864, 27.7809) * CHOOSE(CONTROL!$C$15, $D$11, 100%, $F$11)</f>
        <v>27.7864</v>
      </c>
      <c r="D693" s="8">
        <f>CHOOSE( CONTROL!$C$32, 27.8124, 27.8068) * CHOOSE( CONTROL!$C$15, $D$11, 100%, $F$11)</f>
        <v>27.8124</v>
      </c>
      <c r="E693" s="12">
        <f>CHOOSE( CONTROL!$C$32, 27.8018, 27.7962) * CHOOSE( CONTROL!$C$15, $D$11, 100%, $F$11)</f>
        <v>27.8018</v>
      </c>
      <c r="F693" s="4">
        <f>CHOOSE( CONTROL!$C$32, 28.4908, 28.4852) * CHOOSE(CONTROL!$C$15, $D$11, 100%, $F$11)</f>
        <v>28.4908</v>
      </c>
      <c r="G693" s="8">
        <f>CHOOSE( CONTROL!$C$32, 27.1169, 27.1115) * CHOOSE( CONTROL!$C$15, $D$11, 100%, $F$11)</f>
        <v>27.116900000000001</v>
      </c>
      <c r="H693" s="4">
        <f>CHOOSE( CONTROL!$C$32, 28.0618, 28.0564) * CHOOSE(CONTROL!$C$15, $D$11, 100%, $F$11)</f>
        <v>28.061800000000002</v>
      </c>
      <c r="I693" s="8">
        <f>CHOOSE( CONTROL!$C$32, 26.7664, 26.761) * CHOOSE(CONTROL!$C$15, $D$11, 100%, $F$11)</f>
        <v>26.766400000000001</v>
      </c>
      <c r="J693" s="4">
        <f>CHOOSE( CONTROL!$C$32, 26.6408, 26.6354) * CHOOSE(CONTROL!$C$15, $D$11, 100%, $F$11)</f>
        <v>26.640799999999999</v>
      </c>
      <c r="K693" s="4"/>
      <c r="L693" s="9">
        <v>30.7165</v>
      </c>
      <c r="M693" s="9">
        <v>12.063700000000001</v>
      </c>
      <c r="N693" s="9">
        <v>4.9444999999999997</v>
      </c>
      <c r="O693" s="9">
        <v>0.37409999999999999</v>
      </c>
      <c r="P693" s="9">
        <v>1.2183999999999999</v>
      </c>
      <c r="Q693" s="9">
        <v>19.688099999999999</v>
      </c>
      <c r="R693" s="9"/>
      <c r="S693" s="11"/>
    </row>
    <row r="694" spans="1:19" ht="15.75">
      <c r="A694" s="13">
        <v>62639</v>
      </c>
      <c r="B694" s="8">
        <f>CHOOSE( CONTROL!$C$32, 27.3323, 27.3268) * CHOOSE(CONTROL!$C$15, $D$11, 100%, $F$11)</f>
        <v>27.3323</v>
      </c>
      <c r="C694" s="8">
        <f>CHOOSE( CONTROL!$C$32, 27.3404, 27.3348) * CHOOSE(CONTROL!$C$15, $D$11, 100%, $F$11)</f>
        <v>27.340399999999999</v>
      </c>
      <c r="D694" s="8">
        <f>CHOOSE( CONTROL!$C$32, 27.3666, 27.361) * CHOOSE( CONTROL!$C$15, $D$11, 100%, $F$11)</f>
        <v>27.366599999999998</v>
      </c>
      <c r="E694" s="12">
        <f>CHOOSE( CONTROL!$C$32, 27.3559, 27.3503) * CHOOSE( CONTROL!$C$15, $D$11, 100%, $F$11)</f>
        <v>27.355899999999998</v>
      </c>
      <c r="F694" s="4">
        <f>CHOOSE( CONTROL!$C$32, 28.0447, 28.0392) * CHOOSE(CONTROL!$C$15, $D$11, 100%, $F$11)</f>
        <v>28.044699999999999</v>
      </c>
      <c r="G694" s="8">
        <f>CHOOSE( CONTROL!$C$32, 26.6815, 26.6761) * CHOOSE( CONTROL!$C$15, $D$11, 100%, $F$11)</f>
        <v>26.6815</v>
      </c>
      <c r="H694" s="4">
        <f>CHOOSE( CONTROL!$C$32, 27.6262, 27.6207) * CHOOSE(CONTROL!$C$15, $D$11, 100%, $F$11)</f>
        <v>27.626200000000001</v>
      </c>
      <c r="I694" s="8">
        <f>CHOOSE( CONTROL!$C$32, 26.3387, 26.3334) * CHOOSE(CONTROL!$C$15, $D$11, 100%, $F$11)</f>
        <v>26.338699999999999</v>
      </c>
      <c r="J694" s="4">
        <f>CHOOSE( CONTROL!$C$32, 26.2125, 26.2072) * CHOOSE(CONTROL!$C$15, $D$11, 100%, $F$11)</f>
        <v>26.212499999999999</v>
      </c>
      <c r="K694" s="4"/>
      <c r="L694" s="9">
        <v>29.7257</v>
      </c>
      <c r="M694" s="9">
        <v>11.6745</v>
      </c>
      <c r="N694" s="9">
        <v>4.7850000000000001</v>
      </c>
      <c r="O694" s="9">
        <v>0.36199999999999999</v>
      </c>
      <c r="P694" s="9">
        <v>1.1791</v>
      </c>
      <c r="Q694" s="9">
        <v>19.053000000000001</v>
      </c>
      <c r="R694" s="9"/>
      <c r="S694" s="11"/>
    </row>
    <row r="695" spans="1:19" ht="15.75">
      <c r="A695" s="13">
        <v>62670</v>
      </c>
      <c r="B695" s="8">
        <f>CHOOSE( CONTROL!$C$32, 28.5069, 28.5013) * CHOOSE(CONTROL!$C$15, $D$11, 100%, $F$11)</f>
        <v>28.506900000000002</v>
      </c>
      <c r="C695" s="8">
        <f>CHOOSE( CONTROL!$C$32, 28.515, 28.5094) * CHOOSE(CONTROL!$C$15, $D$11, 100%, $F$11)</f>
        <v>28.515000000000001</v>
      </c>
      <c r="D695" s="8">
        <f>CHOOSE( CONTROL!$C$32, 28.5413, 28.5358) * CHOOSE( CONTROL!$C$15, $D$11, 100%, $F$11)</f>
        <v>28.5413</v>
      </c>
      <c r="E695" s="12">
        <f>CHOOSE( CONTROL!$C$32, 28.5305, 28.525) * CHOOSE( CONTROL!$C$15, $D$11, 100%, $F$11)</f>
        <v>28.5305</v>
      </c>
      <c r="F695" s="4">
        <f>CHOOSE( CONTROL!$C$32, 29.2193, 29.2137) * CHOOSE(CONTROL!$C$15, $D$11, 100%, $F$11)</f>
        <v>29.2193</v>
      </c>
      <c r="G695" s="8">
        <f>CHOOSE( CONTROL!$C$32, 27.829, 27.8236) * CHOOSE( CONTROL!$C$15, $D$11, 100%, $F$11)</f>
        <v>27.829000000000001</v>
      </c>
      <c r="H695" s="4">
        <f>CHOOSE( CONTROL!$C$32, 28.7734, 28.7679) * CHOOSE(CONTROL!$C$15, $D$11, 100%, $F$11)</f>
        <v>28.773399999999999</v>
      </c>
      <c r="I695" s="8">
        <f>CHOOSE( CONTROL!$C$32, 27.468, 27.4626) * CHOOSE(CONTROL!$C$15, $D$11, 100%, $F$11)</f>
        <v>27.468</v>
      </c>
      <c r="J695" s="4">
        <f>CHOOSE( CONTROL!$C$32, 27.3402, 27.3349) * CHOOSE(CONTROL!$C$15, $D$11, 100%, $F$11)</f>
        <v>27.340199999999999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1.2183999999999999</v>
      </c>
      <c r="Q695" s="9">
        <v>19.688099999999999</v>
      </c>
      <c r="R695" s="9"/>
      <c r="S695" s="11"/>
    </row>
    <row r="696" spans="1:19" ht="15.75">
      <c r="A696" s="13">
        <v>62701</v>
      </c>
      <c r="B696" s="8">
        <f>CHOOSE( CONTROL!$C$32, 26.3092, 26.3036) * CHOOSE(CONTROL!$C$15, $D$11, 100%, $F$11)</f>
        <v>26.309200000000001</v>
      </c>
      <c r="C696" s="8">
        <f>CHOOSE( CONTROL!$C$32, 26.3172, 26.3117) * CHOOSE(CONTROL!$C$15, $D$11, 100%, $F$11)</f>
        <v>26.3172</v>
      </c>
      <c r="D696" s="8">
        <f>CHOOSE( CONTROL!$C$32, 26.3436, 26.3381) * CHOOSE( CONTROL!$C$15, $D$11, 100%, $F$11)</f>
        <v>26.343599999999999</v>
      </c>
      <c r="E696" s="12">
        <f>CHOOSE( CONTROL!$C$32, 26.3328, 26.3273) * CHOOSE( CONTROL!$C$15, $D$11, 100%, $F$11)</f>
        <v>26.332799999999999</v>
      </c>
      <c r="F696" s="4">
        <f>CHOOSE( CONTROL!$C$32, 27.0215, 27.016) * CHOOSE(CONTROL!$C$15, $D$11, 100%, $F$11)</f>
        <v>27.0215</v>
      </c>
      <c r="G696" s="8">
        <f>CHOOSE( CONTROL!$C$32, 25.6826, 25.6771) * CHOOSE( CONTROL!$C$15, $D$11, 100%, $F$11)</f>
        <v>25.682600000000001</v>
      </c>
      <c r="H696" s="4">
        <f>CHOOSE( CONTROL!$C$32, 26.6268, 26.6214) * CHOOSE(CONTROL!$C$15, $D$11, 100%, $F$11)</f>
        <v>26.626799999999999</v>
      </c>
      <c r="I696" s="8">
        <f>CHOOSE( CONTROL!$C$32, 25.3571, 25.3518) * CHOOSE(CONTROL!$C$15, $D$11, 100%, $F$11)</f>
        <v>25.357099999999999</v>
      </c>
      <c r="J696" s="4">
        <f>CHOOSE( CONTROL!$C$32, 25.2302, 25.2248) * CHOOSE(CONTROL!$C$15, $D$11, 100%, $F$11)</f>
        <v>25.2302</v>
      </c>
      <c r="K696" s="4"/>
      <c r="L696" s="9">
        <v>30.7165</v>
      </c>
      <c r="M696" s="9">
        <v>12.063700000000001</v>
      </c>
      <c r="N696" s="9">
        <v>4.9444999999999997</v>
      </c>
      <c r="O696" s="9">
        <v>0.37409999999999999</v>
      </c>
      <c r="P696" s="9">
        <v>1.2183999999999999</v>
      </c>
      <c r="Q696" s="9">
        <v>19.688099999999999</v>
      </c>
      <c r="R696" s="9"/>
      <c r="S696" s="11"/>
    </row>
    <row r="697" spans="1:19" ht="15.75">
      <c r="A697" s="13">
        <v>62731</v>
      </c>
      <c r="B697" s="8">
        <f>CHOOSE( CONTROL!$C$32, 25.7588, 25.7532) * CHOOSE(CONTROL!$C$15, $D$11, 100%, $F$11)</f>
        <v>25.758800000000001</v>
      </c>
      <c r="C697" s="8">
        <f>CHOOSE( CONTROL!$C$32, 25.7669, 25.7613) * CHOOSE(CONTROL!$C$15, $D$11, 100%, $F$11)</f>
        <v>25.7669</v>
      </c>
      <c r="D697" s="8">
        <f>CHOOSE( CONTROL!$C$32, 25.7932, 25.7877) * CHOOSE( CONTROL!$C$15, $D$11, 100%, $F$11)</f>
        <v>25.793199999999999</v>
      </c>
      <c r="E697" s="12">
        <f>CHOOSE( CONTROL!$C$32, 25.7824, 25.7769) * CHOOSE( CONTROL!$C$15, $D$11, 100%, $F$11)</f>
        <v>25.782399999999999</v>
      </c>
      <c r="F697" s="4">
        <f>CHOOSE( CONTROL!$C$32, 26.4712, 26.4656) * CHOOSE(CONTROL!$C$15, $D$11, 100%, $F$11)</f>
        <v>26.4712</v>
      </c>
      <c r="G697" s="8">
        <f>CHOOSE( CONTROL!$C$32, 25.145, 25.1396) * CHOOSE( CONTROL!$C$15, $D$11, 100%, $F$11)</f>
        <v>25.145</v>
      </c>
      <c r="H697" s="4">
        <f>CHOOSE( CONTROL!$C$32, 26.0893, 26.0839) * CHOOSE(CONTROL!$C$15, $D$11, 100%, $F$11)</f>
        <v>26.089300000000001</v>
      </c>
      <c r="I697" s="8">
        <f>CHOOSE( CONTROL!$C$32, 24.8283, 24.8229) * CHOOSE(CONTROL!$C$15, $D$11, 100%, $F$11)</f>
        <v>24.828299999999999</v>
      </c>
      <c r="J697" s="4">
        <f>CHOOSE( CONTROL!$C$32, 24.7018, 24.6965) * CHOOSE(CONTROL!$C$15, $D$11, 100%, $F$11)</f>
        <v>24.701799999999999</v>
      </c>
      <c r="K697" s="4"/>
      <c r="L697" s="9">
        <v>29.7257</v>
      </c>
      <c r="M697" s="9">
        <v>11.6745</v>
      </c>
      <c r="N697" s="9">
        <v>4.7850000000000001</v>
      </c>
      <c r="O697" s="9">
        <v>0.36199999999999999</v>
      </c>
      <c r="P697" s="9">
        <v>1.1791</v>
      </c>
      <c r="Q697" s="9">
        <v>19.053000000000001</v>
      </c>
      <c r="R697" s="9"/>
      <c r="S697" s="11"/>
    </row>
    <row r="698" spans="1:19" ht="15.75">
      <c r="A698" s="13">
        <v>62762</v>
      </c>
      <c r="B698" s="8">
        <f>26.8942 * CHOOSE(CONTROL!$C$15, $D$11, 100%, $F$11)</f>
        <v>26.894200000000001</v>
      </c>
      <c r="C698" s="8">
        <f>26.8997 * CHOOSE(CONTROL!$C$15, $D$11, 100%, $F$11)</f>
        <v>26.899699999999999</v>
      </c>
      <c r="D698" s="8">
        <f>26.9308 * CHOOSE( CONTROL!$C$15, $D$11, 100%, $F$11)</f>
        <v>26.930800000000001</v>
      </c>
      <c r="E698" s="12">
        <f>26.9199 * CHOOSE( CONTROL!$C$15, $D$11, 100%, $F$11)</f>
        <v>26.919899999999998</v>
      </c>
      <c r="F698" s="4">
        <f>27.6083 * CHOOSE(CONTROL!$C$15, $D$11, 100%, $F$11)</f>
        <v>27.6083</v>
      </c>
      <c r="G698" s="8">
        <f>26.2548 * CHOOSE( CONTROL!$C$15, $D$11, 100%, $F$11)</f>
        <v>26.254799999999999</v>
      </c>
      <c r="H698" s="4">
        <f>27.1999 * CHOOSE(CONTROL!$C$15, $D$11, 100%, $F$11)</f>
        <v>27.1999</v>
      </c>
      <c r="I698" s="8">
        <f>25.9214 * CHOOSE(CONTROL!$C$15, $D$11, 100%, $F$11)</f>
        <v>25.921399999999998</v>
      </c>
      <c r="J698" s="4">
        <f>25.7936 * CHOOSE(CONTROL!$C$15, $D$11, 100%, $F$11)</f>
        <v>25.793600000000001</v>
      </c>
      <c r="K698" s="4"/>
      <c r="L698" s="9">
        <v>31.095300000000002</v>
      </c>
      <c r="M698" s="9">
        <v>12.063700000000001</v>
      </c>
      <c r="N698" s="9">
        <v>4.9444999999999997</v>
      </c>
      <c r="O698" s="9">
        <v>0.37409999999999999</v>
      </c>
      <c r="P698" s="9">
        <v>1.2183999999999999</v>
      </c>
      <c r="Q698" s="9">
        <v>19.688099999999999</v>
      </c>
      <c r="R698" s="9"/>
      <c r="S698" s="11"/>
    </row>
    <row r="699" spans="1:19" ht="15.75">
      <c r="A699" s="13">
        <v>62792</v>
      </c>
      <c r="B699" s="8">
        <f>29.003 * CHOOSE(CONTROL!$C$15, $D$11, 100%, $F$11)</f>
        <v>29.003</v>
      </c>
      <c r="C699" s="8">
        <f>29.0082 * CHOOSE(CONTROL!$C$15, $D$11, 100%, $F$11)</f>
        <v>29.008199999999999</v>
      </c>
      <c r="D699" s="8">
        <f>28.9944 * CHOOSE( CONTROL!$C$15, $D$11, 100%, $F$11)</f>
        <v>28.994399999999999</v>
      </c>
      <c r="E699" s="12">
        <f>28.9989 * CHOOSE( CONTROL!$C$15, $D$11, 100%, $F$11)</f>
        <v>28.998899999999999</v>
      </c>
      <c r="F699" s="4">
        <f>29.6535 * CHOOSE(CONTROL!$C$15, $D$11, 100%, $F$11)</f>
        <v>29.653500000000001</v>
      </c>
      <c r="G699" s="8">
        <f>28.3224 * CHOOSE( CONTROL!$C$15, $D$11, 100%, $F$11)</f>
        <v>28.322399999999998</v>
      </c>
      <c r="H699" s="4">
        <f>29.1974 * CHOOSE(CONTROL!$C$15, $D$11, 100%, $F$11)</f>
        <v>29.197399999999998</v>
      </c>
      <c r="I699" s="8">
        <f>27.9911 * CHOOSE(CONTROL!$C$15, $D$11, 100%, $F$11)</f>
        <v>27.991099999999999</v>
      </c>
      <c r="J699" s="4">
        <f>27.8186 * CHOOSE(CONTROL!$C$15, $D$11, 100%, $F$11)</f>
        <v>27.8186</v>
      </c>
      <c r="K699" s="4"/>
      <c r="L699" s="9">
        <v>28.360600000000002</v>
      </c>
      <c r="M699" s="9">
        <v>11.6745</v>
      </c>
      <c r="N699" s="9">
        <v>4.7850000000000001</v>
      </c>
      <c r="O699" s="9">
        <v>0.36199999999999999</v>
      </c>
      <c r="P699" s="9">
        <v>1.2509999999999999</v>
      </c>
      <c r="Q699" s="9">
        <v>19.053000000000001</v>
      </c>
      <c r="R699" s="9"/>
      <c r="S699" s="11"/>
    </row>
    <row r="700" spans="1:19" ht="15.75">
      <c r="A700" s="13">
        <v>62823</v>
      </c>
      <c r="B700" s="8">
        <f>28.9503 * CHOOSE(CONTROL!$C$15, $D$11, 100%, $F$11)</f>
        <v>28.950299999999999</v>
      </c>
      <c r="C700" s="8">
        <f>28.9555 * CHOOSE(CONTROL!$C$15, $D$11, 100%, $F$11)</f>
        <v>28.955500000000001</v>
      </c>
      <c r="D700" s="8">
        <f>28.9432 * CHOOSE( CONTROL!$C$15, $D$11, 100%, $F$11)</f>
        <v>28.943200000000001</v>
      </c>
      <c r="E700" s="12">
        <f>28.9471 * CHOOSE( CONTROL!$C$15, $D$11, 100%, $F$11)</f>
        <v>28.947099999999999</v>
      </c>
      <c r="F700" s="4">
        <f>29.6008 * CHOOSE(CONTROL!$C$15, $D$11, 100%, $F$11)</f>
        <v>29.6008</v>
      </c>
      <c r="G700" s="8">
        <f>28.272 * CHOOSE( CONTROL!$C$15, $D$11, 100%, $F$11)</f>
        <v>28.271999999999998</v>
      </c>
      <c r="H700" s="4">
        <f>29.1459 * CHOOSE(CONTROL!$C$15, $D$11, 100%, $F$11)</f>
        <v>29.145900000000001</v>
      </c>
      <c r="I700" s="8">
        <f>27.9452 * CHOOSE(CONTROL!$C$15, $D$11, 100%, $F$11)</f>
        <v>27.9452</v>
      </c>
      <c r="J700" s="4">
        <f>27.768 * CHOOSE(CONTROL!$C$15, $D$11, 100%, $F$11)</f>
        <v>27.768000000000001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62854</v>
      </c>
      <c r="B701" s="8">
        <f>30.0557 * CHOOSE(CONTROL!$C$15, $D$11, 100%, $F$11)</f>
        <v>30.055700000000002</v>
      </c>
      <c r="C701" s="8">
        <f>30.0609 * CHOOSE(CONTROL!$C$15, $D$11, 100%, $F$11)</f>
        <v>30.0609</v>
      </c>
      <c r="D701" s="8">
        <f>30.0433 * CHOOSE( CONTROL!$C$15, $D$11, 100%, $F$11)</f>
        <v>30.043299999999999</v>
      </c>
      <c r="E701" s="12">
        <f>30.0492 * CHOOSE( CONTROL!$C$15, $D$11, 100%, $F$11)</f>
        <v>30.049199999999999</v>
      </c>
      <c r="F701" s="4">
        <f>30.7061 * CHOOSE(CONTROL!$C$15, $D$11, 100%, $F$11)</f>
        <v>30.706099999999999</v>
      </c>
      <c r="G701" s="8">
        <f>29.3416 * CHOOSE( CONTROL!$C$15, $D$11, 100%, $F$11)</f>
        <v>29.3416</v>
      </c>
      <c r="H701" s="4">
        <f>30.2256 * CHOOSE(CONTROL!$C$15, $D$11, 100%, $F$11)</f>
        <v>30.2256</v>
      </c>
      <c r="I701" s="8">
        <f>28.9669 * CHOOSE(CONTROL!$C$15, $D$11, 100%, $F$11)</f>
        <v>28.966899999999999</v>
      </c>
      <c r="J701" s="4">
        <f>28.8293 * CHOOSE(CONTROL!$C$15, $D$11, 100%, $F$11)</f>
        <v>28.8293</v>
      </c>
      <c r="K701" s="4"/>
      <c r="L701" s="9">
        <v>29.306000000000001</v>
      </c>
      <c r="M701" s="9">
        <v>12.063700000000001</v>
      </c>
      <c r="N701" s="9">
        <v>4.9444999999999997</v>
      </c>
      <c r="O701" s="9">
        <v>0.37409999999999999</v>
      </c>
      <c r="P701" s="9">
        <v>1.2927</v>
      </c>
      <c r="Q701" s="9">
        <v>19.688099999999999</v>
      </c>
      <c r="R701" s="9"/>
      <c r="S701" s="11"/>
    </row>
    <row r="702" spans="1:19" ht="15.75">
      <c r="A702" s="13">
        <v>62883</v>
      </c>
      <c r="B702" s="8">
        <f>28.1145 * CHOOSE(CONTROL!$C$15, $D$11, 100%, $F$11)</f>
        <v>28.1145</v>
      </c>
      <c r="C702" s="8">
        <f>28.1196 * CHOOSE(CONTROL!$C$15, $D$11, 100%, $F$11)</f>
        <v>28.119599999999998</v>
      </c>
      <c r="D702" s="8">
        <f>28.102 * CHOOSE( CONTROL!$C$15, $D$11, 100%, $F$11)</f>
        <v>28.102</v>
      </c>
      <c r="E702" s="12">
        <f>28.1079 * CHOOSE( CONTROL!$C$15, $D$11, 100%, $F$11)</f>
        <v>28.107900000000001</v>
      </c>
      <c r="F702" s="4">
        <f>28.7649 * CHOOSE(CONTROL!$C$15, $D$11, 100%, $F$11)</f>
        <v>28.764900000000001</v>
      </c>
      <c r="G702" s="8">
        <f>27.4456 * CHOOSE( CONTROL!$C$15, $D$11, 100%, $F$11)</f>
        <v>27.445599999999999</v>
      </c>
      <c r="H702" s="4">
        <f>28.3296 * CHOOSE(CONTROL!$C$15, $D$11, 100%, $F$11)</f>
        <v>28.329599999999999</v>
      </c>
      <c r="I702" s="8">
        <f>27.102 * CHOOSE(CONTROL!$C$15, $D$11, 100%, $F$11)</f>
        <v>27.102</v>
      </c>
      <c r="J702" s="4">
        <f>26.9655 * CHOOSE(CONTROL!$C$15, $D$11, 100%, $F$11)</f>
        <v>26.965499999999999</v>
      </c>
      <c r="K702" s="4"/>
      <c r="L702" s="9">
        <v>27.415299999999998</v>
      </c>
      <c r="M702" s="9">
        <v>11.285299999999999</v>
      </c>
      <c r="N702" s="9">
        <v>4.6254999999999997</v>
      </c>
      <c r="O702" s="9">
        <v>0.34989999999999999</v>
      </c>
      <c r="P702" s="9">
        <v>1.2093</v>
      </c>
      <c r="Q702" s="9">
        <v>18.417899999999999</v>
      </c>
      <c r="R702" s="9"/>
      <c r="S702" s="11"/>
    </row>
    <row r="703" spans="1:19" ht="15.75">
      <c r="A703" s="13">
        <v>62914</v>
      </c>
      <c r="B703" s="8">
        <f>27.5166 * CHOOSE(CONTROL!$C$15, $D$11, 100%, $F$11)</f>
        <v>27.5166</v>
      </c>
      <c r="C703" s="8">
        <f>27.5218 * CHOOSE(CONTROL!$C$15, $D$11, 100%, $F$11)</f>
        <v>27.521799999999999</v>
      </c>
      <c r="D703" s="8">
        <f>27.5038 * CHOOSE( CONTROL!$C$15, $D$11, 100%, $F$11)</f>
        <v>27.503799999999998</v>
      </c>
      <c r="E703" s="12">
        <f>27.5098 * CHOOSE( CONTROL!$C$15, $D$11, 100%, $F$11)</f>
        <v>27.509799999999998</v>
      </c>
      <c r="F703" s="4">
        <f>28.167 * CHOOSE(CONTROL!$C$15, $D$11, 100%, $F$11)</f>
        <v>28.167000000000002</v>
      </c>
      <c r="G703" s="8">
        <f>26.8614 * CHOOSE( CONTROL!$C$15, $D$11, 100%, $F$11)</f>
        <v>26.8614</v>
      </c>
      <c r="H703" s="4">
        <f>27.7456 * CHOOSE(CONTROL!$C$15, $D$11, 100%, $F$11)</f>
        <v>27.7456</v>
      </c>
      <c r="I703" s="8">
        <f>26.5265 * CHOOSE(CONTROL!$C$15, $D$11, 100%, $F$11)</f>
        <v>26.526499999999999</v>
      </c>
      <c r="J703" s="4">
        <f>26.3915 * CHOOSE(CONTROL!$C$15, $D$11, 100%, $F$11)</f>
        <v>26.391500000000001</v>
      </c>
      <c r="K703" s="4"/>
      <c r="L703" s="9">
        <v>29.306000000000001</v>
      </c>
      <c r="M703" s="9">
        <v>12.063700000000001</v>
      </c>
      <c r="N703" s="9">
        <v>4.9444999999999997</v>
      </c>
      <c r="O703" s="9">
        <v>0.37409999999999999</v>
      </c>
      <c r="P703" s="9">
        <v>1.2927</v>
      </c>
      <c r="Q703" s="9">
        <v>19.688099999999999</v>
      </c>
      <c r="R703" s="9"/>
      <c r="S703" s="11"/>
    </row>
    <row r="704" spans="1:19" ht="15.75">
      <c r="A704" s="13">
        <v>62944</v>
      </c>
      <c r="B704" s="8">
        <f>27.9351 * CHOOSE(CONTROL!$C$15, $D$11, 100%, $F$11)</f>
        <v>27.935099999999998</v>
      </c>
      <c r="C704" s="8">
        <f>27.9397 * CHOOSE(CONTROL!$C$15, $D$11, 100%, $F$11)</f>
        <v>27.939699999999998</v>
      </c>
      <c r="D704" s="8">
        <f>27.9709 * CHOOSE( CONTROL!$C$15, $D$11, 100%, $F$11)</f>
        <v>27.9709</v>
      </c>
      <c r="E704" s="12">
        <f>27.9601 * CHOOSE( CONTROL!$C$15, $D$11, 100%, $F$11)</f>
        <v>27.960100000000001</v>
      </c>
      <c r="F704" s="4">
        <f>28.6489 * CHOOSE(CONTROL!$C$15, $D$11, 100%, $F$11)</f>
        <v>28.648900000000001</v>
      </c>
      <c r="G704" s="8">
        <f>27.2703 * CHOOSE( CONTROL!$C$15, $D$11, 100%, $F$11)</f>
        <v>27.270299999999999</v>
      </c>
      <c r="H704" s="4">
        <f>28.2162 * CHOOSE(CONTROL!$C$15, $D$11, 100%, $F$11)</f>
        <v>28.216200000000001</v>
      </c>
      <c r="I704" s="8">
        <f>26.9183 * CHOOSE(CONTROL!$C$15, $D$11, 100%, $F$11)</f>
        <v>26.918299999999999</v>
      </c>
      <c r="J704" s="4">
        <f>26.7926 * CHOOSE(CONTROL!$C$15, $D$11, 100%, $F$11)</f>
        <v>26.7926</v>
      </c>
      <c r="K704" s="4"/>
      <c r="L704" s="9">
        <v>30.092199999999998</v>
      </c>
      <c r="M704" s="9">
        <v>11.6745</v>
      </c>
      <c r="N704" s="9">
        <v>4.7850000000000001</v>
      </c>
      <c r="O704" s="9">
        <v>0.36199999999999999</v>
      </c>
      <c r="P704" s="9">
        <v>1.1791</v>
      </c>
      <c r="Q704" s="9">
        <v>19.053000000000001</v>
      </c>
      <c r="R704" s="9"/>
      <c r="S704" s="11"/>
    </row>
    <row r="705" spans="1:19" ht="15.75">
      <c r="A705" s="13">
        <v>62975</v>
      </c>
      <c r="B705" s="8">
        <f>CHOOSE( CONTROL!$C$32, 28.6856, 28.6801) * CHOOSE(CONTROL!$C$15, $D$11, 100%, $F$11)</f>
        <v>28.685600000000001</v>
      </c>
      <c r="C705" s="8">
        <f>CHOOSE( CONTROL!$C$32, 28.6937, 28.6882) * CHOOSE(CONTROL!$C$15, $D$11, 100%, $F$11)</f>
        <v>28.6937</v>
      </c>
      <c r="D705" s="8">
        <f>CHOOSE( CONTROL!$C$32, 28.7197, 28.7141) * CHOOSE( CONTROL!$C$15, $D$11, 100%, $F$11)</f>
        <v>28.7197</v>
      </c>
      <c r="E705" s="12">
        <f>CHOOSE( CONTROL!$C$32, 28.709, 28.7035) * CHOOSE( CONTROL!$C$15, $D$11, 100%, $F$11)</f>
        <v>28.709</v>
      </c>
      <c r="F705" s="4">
        <f>CHOOSE( CONTROL!$C$32, 29.398, 29.3925) * CHOOSE(CONTROL!$C$15, $D$11, 100%, $F$11)</f>
        <v>29.398</v>
      </c>
      <c r="G705" s="8">
        <f>CHOOSE( CONTROL!$C$32, 28.0031, 27.9976) * CHOOSE( CONTROL!$C$15, $D$11, 100%, $F$11)</f>
        <v>28.0031</v>
      </c>
      <c r="H705" s="4">
        <f>CHOOSE( CONTROL!$C$32, 28.9479, 28.9425) * CHOOSE(CONTROL!$C$15, $D$11, 100%, $F$11)</f>
        <v>28.947900000000001</v>
      </c>
      <c r="I705" s="8">
        <f>CHOOSE( CONTROL!$C$32, 27.6379, 27.6325) * CHOOSE(CONTROL!$C$15, $D$11, 100%, $F$11)</f>
        <v>27.637899999999998</v>
      </c>
      <c r="J705" s="4">
        <f>CHOOSE( CONTROL!$C$32, 27.5119, 27.5065) * CHOOSE(CONTROL!$C$15, $D$11, 100%, $F$11)</f>
        <v>27.511900000000001</v>
      </c>
      <c r="K705" s="4"/>
      <c r="L705" s="9">
        <v>30.7165</v>
      </c>
      <c r="M705" s="9">
        <v>12.063700000000001</v>
      </c>
      <c r="N705" s="9">
        <v>4.9444999999999997</v>
      </c>
      <c r="O705" s="9">
        <v>0.37409999999999999</v>
      </c>
      <c r="P705" s="9">
        <v>1.2183999999999999</v>
      </c>
      <c r="Q705" s="9">
        <v>19.688099999999999</v>
      </c>
      <c r="R705" s="9"/>
      <c r="S705" s="11"/>
    </row>
    <row r="706" spans="1:19" ht="15.75">
      <c r="A706" s="13">
        <v>63005</v>
      </c>
      <c r="B706" s="8">
        <f>CHOOSE( CONTROL!$C$32, 28.225, 28.2195) * CHOOSE(CONTROL!$C$15, $D$11, 100%, $F$11)</f>
        <v>28.225000000000001</v>
      </c>
      <c r="C706" s="8">
        <f>CHOOSE( CONTROL!$C$32, 28.2331, 28.2275) * CHOOSE(CONTROL!$C$15, $D$11, 100%, $F$11)</f>
        <v>28.2331</v>
      </c>
      <c r="D706" s="8">
        <f>CHOOSE( CONTROL!$C$32, 28.2592, 28.2537) * CHOOSE( CONTROL!$C$15, $D$11, 100%, $F$11)</f>
        <v>28.2592</v>
      </c>
      <c r="E706" s="12">
        <f>CHOOSE( CONTROL!$C$32, 28.2485, 28.243) * CHOOSE( CONTROL!$C$15, $D$11, 100%, $F$11)</f>
        <v>28.2485</v>
      </c>
      <c r="F706" s="4">
        <f>CHOOSE( CONTROL!$C$32, 28.9374, 28.9318) * CHOOSE(CONTROL!$C$15, $D$11, 100%, $F$11)</f>
        <v>28.9374</v>
      </c>
      <c r="G706" s="8">
        <f>CHOOSE( CONTROL!$C$32, 27.5534, 27.548) * CHOOSE( CONTROL!$C$15, $D$11, 100%, $F$11)</f>
        <v>27.5534</v>
      </c>
      <c r="H706" s="4">
        <f>CHOOSE( CONTROL!$C$32, 28.498, 28.4926) * CHOOSE(CONTROL!$C$15, $D$11, 100%, $F$11)</f>
        <v>28.498000000000001</v>
      </c>
      <c r="I706" s="8">
        <f>CHOOSE( CONTROL!$C$32, 27.1962, 27.1909) * CHOOSE(CONTROL!$C$15, $D$11, 100%, $F$11)</f>
        <v>27.196200000000001</v>
      </c>
      <c r="J706" s="4">
        <f>CHOOSE( CONTROL!$C$32, 27.0696, 27.0643) * CHOOSE(CONTROL!$C$15, $D$11, 100%, $F$11)</f>
        <v>27.069600000000001</v>
      </c>
      <c r="K706" s="4"/>
      <c r="L706" s="9">
        <v>29.7257</v>
      </c>
      <c r="M706" s="9">
        <v>11.6745</v>
      </c>
      <c r="N706" s="9">
        <v>4.7850000000000001</v>
      </c>
      <c r="O706" s="9">
        <v>0.36199999999999999</v>
      </c>
      <c r="P706" s="9">
        <v>1.1791</v>
      </c>
      <c r="Q706" s="9">
        <v>19.053000000000001</v>
      </c>
      <c r="R706" s="9"/>
      <c r="S706" s="11"/>
    </row>
    <row r="707" spans="1:19" ht="15.75">
      <c r="A707" s="13">
        <v>63036</v>
      </c>
      <c r="B707" s="8">
        <f>CHOOSE( CONTROL!$C$32, 29.438, 29.4324) * CHOOSE(CONTROL!$C$15, $D$11, 100%, $F$11)</f>
        <v>29.437999999999999</v>
      </c>
      <c r="C707" s="8">
        <f>CHOOSE( CONTROL!$C$32, 29.4461, 29.4405) * CHOOSE(CONTROL!$C$15, $D$11, 100%, $F$11)</f>
        <v>29.446100000000001</v>
      </c>
      <c r="D707" s="8">
        <f>CHOOSE( CONTROL!$C$32, 29.4724, 29.4669) * CHOOSE( CONTROL!$C$15, $D$11, 100%, $F$11)</f>
        <v>29.4724</v>
      </c>
      <c r="E707" s="12">
        <f>CHOOSE( CONTROL!$C$32, 29.4616, 29.4561) * CHOOSE( CONTROL!$C$15, $D$11, 100%, $F$11)</f>
        <v>29.461600000000001</v>
      </c>
      <c r="F707" s="4">
        <f>CHOOSE( CONTROL!$C$32, 30.1504, 30.1448) * CHOOSE(CONTROL!$C$15, $D$11, 100%, $F$11)</f>
        <v>30.150400000000001</v>
      </c>
      <c r="G707" s="8">
        <f>CHOOSE( CONTROL!$C$32, 28.7385, 28.733) * CHOOSE( CONTROL!$C$15, $D$11, 100%, $F$11)</f>
        <v>28.738499999999998</v>
      </c>
      <c r="H707" s="4">
        <f>CHOOSE( CONTROL!$C$32, 29.6828, 29.6773) * CHOOSE(CONTROL!$C$15, $D$11, 100%, $F$11)</f>
        <v>29.6828</v>
      </c>
      <c r="I707" s="8">
        <f>CHOOSE( CONTROL!$C$32, 28.3624, 28.357) * CHOOSE(CONTROL!$C$15, $D$11, 100%, $F$11)</f>
        <v>28.362400000000001</v>
      </c>
      <c r="J707" s="4">
        <f>CHOOSE( CONTROL!$C$32, 28.2342, 28.2289) * CHOOSE(CONTROL!$C$15, $D$11, 100%, $F$11)</f>
        <v>28.234200000000001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1.2183999999999999</v>
      </c>
      <c r="Q707" s="9">
        <v>19.688099999999999</v>
      </c>
      <c r="R707" s="9"/>
      <c r="S707" s="11"/>
    </row>
    <row r="708" spans="1:19" ht="15.75">
      <c r="A708" s="13">
        <v>63067</v>
      </c>
      <c r="B708" s="8">
        <f>CHOOSE( CONTROL!$C$32, 27.1684, 27.1628) * CHOOSE(CONTROL!$C$15, $D$11, 100%, $F$11)</f>
        <v>27.168399999999998</v>
      </c>
      <c r="C708" s="8">
        <f>CHOOSE( CONTROL!$C$32, 27.1765, 27.1709) * CHOOSE(CONTROL!$C$15, $D$11, 100%, $F$11)</f>
        <v>27.176500000000001</v>
      </c>
      <c r="D708" s="8">
        <f>CHOOSE( CONTROL!$C$32, 27.2029, 27.1973) * CHOOSE( CONTROL!$C$15, $D$11, 100%, $F$11)</f>
        <v>27.2029</v>
      </c>
      <c r="E708" s="12">
        <f>CHOOSE( CONTROL!$C$32, 27.1921, 27.1865) * CHOOSE( CONTROL!$C$15, $D$11, 100%, $F$11)</f>
        <v>27.1921</v>
      </c>
      <c r="F708" s="4">
        <f>CHOOSE( CONTROL!$C$32, 27.8808, 27.8752) * CHOOSE(CONTROL!$C$15, $D$11, 100%, $F$11)</f>
        <v>27.880800000000001</v>
      </c>
      <c r="G708" s="8">
        <f>CHOOSE( CONTROL!$C$32, 26.5218, 26.5164) * CHOOSE( CONTROL!$C$15, $D$11, 100%, $F$11)</f>
        <v>26.521799999999999</v>
      </c>
      <c r="H708" s="4">
        <f>CHOOSE( CONTROL!$C$32, 27.466, 27.4606) * CHOOSE(CONTROL!$C$15, $D$11, 100%, $F$11)</f>
        <v>27.466000000000001</v>
      </c>
      <c r="I708" s="8">
        <f>CHOOSE( CONTROL!$C$32, 26.1825, 26.1771) * CHOOSE(CONTROL!$C$15, $D$11, 100%, $F$11)</f>
        <v>26.182500000000001</v>
      </c>
      <c r="J708" s="4">
        <f>CHOOSE( CONTROL!$C$32, 26.0551, 26.0498) * CHOOSE(CONTROL!$C$15, $D$11, 100%, $F$11)</f>
        <v>26.055099999999999</v>
      </c>
      <c r="K708" s="4"/>
      <c r="L708" s="9">
        <v>30.7165</v>
      </c>
      <c r="M708" s="9">
        <v>12.063700000000001</v>
      </c>
      <c r="N708" s="9">
        <v>4.9444999999999997</v>
      </c>
      <c r="O708" s="9">
        <v>0.37409999999999999</v>
      </c>
      <c r="P708" s="9">
        <v>1.2183999999999999</v>
      </c>
      <c r="Q708" s="9">
        <v>19.688099999999999</v>
      </c>
      <c r="R708" s="9"/>
      <c r="S708" s="11"/>
    </row>
    <row r="709" spans="1:19" ht="15.75">
      <c r="A709" s="13">
        <v>63097</v>
      </c>
      <c r="B709" s="8">
        <f>CHOOSE( CONTROL!$C$32, 26.6, 26.5945) * CHOOSE(CONTROL!$C$15, $D$11, 100%, $F$11)</f>
        <v>26.6</v>
      </c>
      <c r="C709" s="8">
        <f>CHOOSE( CONTROL!$C$32, 26.6081, 26.6026) * CHOOSE(CONTROL!$C$15, $D$11, 100%, $F$11)</f>
        <v>26.6081</v>
      </c>
      <c r="D709" s="8">
        <f>CHOOSE( CONTROL!$C$32, 26.6345, 26.6289) * CHOOSE( CONTROL!$C$15, $D$11, 100%, $F$11)</f>
        <v>26.634499999999999</v>
      </c>
      <c r="E709" s="12">
        <f>CHOOSE( CONTROL!$C$32, 26.6237, 26.6181) * CHOOSE( CONTROL!$C$15, $D$11, 100%, $F$11)</f>
        <v>26.623699999999999</v>
      </c>
      <c r="F709" s="4">
        <f>CHOOSE( CONTROL!$C$32, 27.3124, 27.3069) * CHOOSE(CONTROL!$C$15, $D$11, 100%, $F$11)</f>
        <v>27.3124</v>
      </c>
      <c r="G709" s="8">
        <f>CHOOSE( CONTROL!$C$32, 25.9666, 25.9612) * CHOOSE( CONTROL!$C$15, $D$11, 100%, $F$11)</f>
        <v>25.9666</v>
      </c>
      <c r="H709" s="4">
        <f>CHOOSE( CONTROL!$C$32, 26.9109, 26.9055) * CHOOSE(CONTROL!$C$15, $D$11, 100%, $F$11)</f>
        <v>26.910900000000002</v>
      </c>
      <c r="I709" s="8">
        <f>CHOOSE( CONTROL!$C$32, 25.6363, 25.631) * CHOOSE(CONTROL!$C$15, $D$11, 100%, $F$11)</f>
        <v>25.636299999999999</v>
      </c>
      <c r="J709" s="4">
        <f>CHOOSE( CONTROL!$C$32, 25.5095, 25.5041) * CHOOSE(CONTROL!$C$15, $D$11, 100%, $F$11)</f>
        <v>25.509499999999999</v>
      </c>
      <c r="K709" s="4"/>
      <c r="L709" s="9">
        <v>29.7257</v>
      </c>
      <c r="M709" s="9">
        <v>11.6745</v>
      </c>
      <c r="N709" s="9">
        <v>4.7850000000000001</v>
      </c>
      <c r="O709" s="9">
        <v>0.36199999999999999</v>
      </c>
      <c r="P709" s="9">
        <v>1.1791</v>
      </c>
      <c r="Q709" s="9">
        <v>19.053000000000001</v>
      </c>
      <c r="R709" s="9"/>
      <c r="S709" s="11"/>
    </row>
    <row r="710" spans="1:19" ht="15.75">
      <c r="A710" s="13">
        <v>63128</v>
      </c>
      <c r="B710" s="8">
        <f>27.7728 * CHOOSE(CONTROL!$C$15, $D$11, 100%, $F$11)</f>
        <v>27.7728</v>
      </c>
      <c r="C710" s="8">
        <f>27.7783 * CHOOSE(CONTROL!$C$15, $D$11, 100%, $F$11)</f>
        <v>27.778300000000002</v>
      </c>
      <c r="D710" s="8">
        <f>27.8094 * CHOOSE( CONTROL!$C$15, $D$11, 100%, $F$11)</f>
        <v>27.8094</v>
      </c>
      <c r="E710" s="12">
        <f>27.7985 * CHOOSE( CONTROL!$C$15, $D$11, 100%, $F$11)</f>
        <v>27.798500000000001</v>
      </c>
      <c r="F710" s="4">
        <f>28.4869 * CHOOSE(CONTROL!$C$15, $D$11, 100%, $F$11)</f>
        <v>28.486899999999999</v>
      </c>
      <c r="G710" s="8">
        <f>27.1129 * CHOOSE( CONTROL!$C$15, $D$11, 100%, $F$11)</f>
        <v>27.1129</v>
      </c>
      <c r="H710" s="4">
        <f>28.0581 * CHOOSE(CONTROL!$C$15, $D$11, 100%, $F$11)</f>
        <v>28.0581</v>
      </c>
      <c r="I710" s="8">
        <f>26.7654 * CHOOSE(CONTROL!$C$15, $D$11, 100%, $F$11)</f>
        <v>26.7654</v>
      </c>
      <c r="J710" s="4">
        <f>26.6371 * CHOOSE(CONTROL!$C$15, $D$11, 100%, $F$11)</f>
        <v>26.6371</v>
      </c>
      <c r="K710" s="4"/>
      <c r="L710" s="9">
        <v>31.095300000000002</v>
      </c>
      <c r="M710" s="9">
        <v>12.063700000000001</v>
      </c>
      <c r="N710" s="9">
        <v>4.9444999999999997</v>
      </c>
      <c r="O710" s="9">
        <v>0.37409999999999999</v>
      </c>
      <c r="P710" s="9">
        <v>1.2183999999999999</v>
      </c>
      <c r="Q710" s="9">
        <v>19.688099999999999</v>
      </c>
      <c r="R710" s="9"/>
      <c r="S710" s="11"/>
    </row>
    <row r="711" spans="1:19" ht="15.75">
      <c r="A711" s="13">
        <v>63158</v>
      </c>
      <c r="B711" s="8">
        <f>29.9506 * CHOOSE(CONTROL!$C$15, $D$11, 100%, $F$11)</f>
        <v>29.950600000000001</v>
      </c>
      <c r="C711" s="8">
        <f>29.9558 * CHOOSE(CONTROL!$C$15, $D$11, 100%, $F$11)</f>
        <v>29.9558</v>
      </c>
      <c r="D711" s="8">
        <f>29.942 * CHOOSE( CONTROL!$C$15, $D$11, 100%, $F$11)</f>
        <v>29.942</v>
      </c>
      <c r="E711" s="12">
        <f>29.9465 * CHOOSE( CONTROL!$C$15, $D$11, 100%, $F$11)</f>
        <v>29.9465</v>
      </c>
      <c r="F711" s="4">
        <f>30.601 * CHOOSE(CONTROL!$C$15, $D$11, 100%, $F$11)</f>
        <v>30.600999999999999</v>
      </c>
      <c r="G711" s="8">
        <f>29.2479 * CHOOSE( CONTROL!$C$15, $D$11, 100%, $F$11)</f>
        <v>29.247900000000001</v>
      </c>
      <c r="H711" s="4">
        <f>30.1229 * CHOOSE(CONTROL!$C$15, $D$11, 100%, $F$11)</f>
        <v>30.122900000000001</v>
      </c>
      <c r="I711" s="8">
        <f>28.9013 * CHOOSE(CONTROL!$C$15, $D$11, 100%, $F$11)</f>
        <v>28.901299999999999</v>
      </c>
      <c r="J711" s="4">
        <f>28.7284 * CHOOSE(CONTROL!$C$15, $D$11, 100%, $F$11)</f>
        <v>28.728400000000001</v>
      </c>
      <c r="K711" s="4"/>
      <c r="L711" s="9">
        <v>28.360600000000002</v>
      </c>
      <c r="M711" s="9">
        <v>11.6745</v>
      </c>
      <c r="N711" s="9">
        <v>4.7850000000000001</v>
      </c>
      <c r="O711" s="9">
        <v>0.36199999999999999</v>
      </c>
      <c r="P711" s="9">
        <v>1.2509999999999999</v>
      </c>
      <c r="Q711" s="9">
        <v>19.053000000000001</v>
      </c>
      <c r="R711" s="9"/>
      <c r="S711" s="11"/>
    </row>
    <row r="712" spans="1:19" ht="15.75">
      <c r="A712" s="13">
        <v>63189</v>
      </c>
      <c r="B712" s="8">
        <f>29.8962 * CHOOSE(CONTROL!$C$15, $D$11, 100%, $F$11)</f>
        <v>29.8962</v>
      </c>
      <c r="C712" s="8">
        <f>29.9013 * CHOOSE(CONTROL!$C$15, $D$11, 100%, $F$11)</f>
        <v>29.901299999999999</v>
      </c>
      <c r="D712" s="8">
        <f>29.8891 * CHOOSE( CONTROL!$C$15, $D$11, 100%, $F$11)</f>
        <v>29.889099999999999</v>
      </c>
      <c r="E712" s="12">
        <f>29.893 * CHOOSE( CONTROL!$C$15, $D$11, 100%, $F$11)</f>
        <v>29.893000000000001</v>
      </c>
      <c r="F712" s="4">
        <f>30.5466 * CHOOSE(CONTROL!$C$15, $D$11, 100%, $F$11)</f>
        <v>30.546600000000002</v>
      </c>
      <c r="G712" s="8">
        <f>29.1959 * CHOOSE( CONTROL!$C$15, $D$11, 100%, $F$11)</f>
        <v>29.195900000000002</v>
      </c>
      <c r="H712" s="4">
        <f>30.0698 * CHOOSE(CONTROL!$C$15, $D$11, 100%, $F$11)</f>
        <v>30.069800000000001</v>
      </c>
      <c r="I712" s="8">
        <f>28.8538 * CHOOSE(CONTROL!$C$15, $D$11, 100%, $F$11)</f>
        <v>28.8538</v>
      </c>
      <c r="J712" s="4">
        <f>28.6761 * CHOOSE(CONTROL!$C$15, $D$11, 100%, $F$11)</f>
        <v>28.676100000000002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63220</v>
      </c>
      <c r="B713" s="8">
        <f>31.0377 * CHOOSE(CONTROL!$C$15, $D$11, 100%, $F$11)</f>
        <v>31.037700000000001</v>
      </c>
      <c r="C713" s="8">
        <f>31.0429 * CHOOSE(CONTROL!$C$15, $D$11, 100%, $F$11)</f>
        <v>31.042899999999999</v>
      </c>
      <c r="D713" s="8">
        <f>31.0253 * CHOOSE( CONTROL!$C$15, $D$11, 100%, $F$11)</f>
        <v>31.025300000000001</v>
      </c>
      <c r="E713" s="12">
        <f>31.0312 * CHOOSE( CONTROL!$C$15, $D$11, 100%, $F$11)</f>
        <v>31.031199999999998</v>
      </c>
      <c r="F713" s="4">
        <f>31.6882 * CHOOSE(CONTROL!$C$15, $D$11, 100%, $F$11)</f>
        <v>31.688199999999998</v>
      </c>
      <c r="G713" s="8">
        <f>30.3008 * CHOOSE( CONTROL!$C$15, $D$11, 100%, $F$11)</f>
        <v>30.300799999999999</v>
      </c>
      <c r="H713" s="4">
        <f>31.1847 * CHOOSE(CONTROL!$C$15, $D$11, 100%, $F$11)</f>
        <v>31.184699999999999</v>
      </c>
      <c r="I713" s="8">
        <f>29.9102 * CHOOSE(CONTROL!$C$15, $D$11, 100%, $F$11)</f>
        <v>29.9102</v>
      </c>
      <c r="J713" s="4">
        <f>29.7721 * CHOOSE(CONTROL!$C$15, $D$11, 100%, $F$11)</f>
        <v>29.772099999999998</v>
      </c>
      <c r="K713" s="4"/>
      <c r="L713" s="9">
        <v>29.306000000000001</v>
      </c>
      <c r="M713" s="9">
        <v>12.063700000000001</v>
      </c>
      <c r="N713" s="9">
        <v>4.9444999999999997</v>
      </c>
      <c r="O713" s="9">
        <v>0.37409999999999999</v>
      </c>
      <c r="P713" s="9">
        <v>1.2927</v>
      </c>
      <c r="Q713" s="9">
        <v>19.688099999999999</v>
      </c>
      <c r="R713" s="9"/>
      <c r="S713" s="11"/>
    </row>
    <row r="714" spans="1:19" ht="15.75">
      <c r="A714" s="13">
        <v>63248</v>
      </c>
      <c r="B714" s="8">
        <f>29.033 * CHOOSE(CONTROL!$C$15, $D$11, 100%, $F$11)</f>
        <v>29.033000000000001</v>
      </c>
      <c r="C714" s="8">
        <f>29.0382 * CHOOSE(CONTROL!$C$15, $D$11, 100%, $F$11)</f>
        <v>29.0382</v>
      </c>
      <c r="D714" s="8">
        <f>29.0205 * CHOOSE( CONTROL!$C$15, $D$11, 100%, $F$11)</f>
        <v>29.020499999999998</v>
      </c>
      <c r="E714" s="12">
        <f>29.0264 * CHOOSE( CONTROL!$C$15, $D$11, 100%, $F$11)</f>
        <v>29.026399999999999</v>
      </c>
      <c r="F714" s="4">
        <f>29.6835 * CHOOSE(CONTROL!$C$15, $D$11, 100%, $F$11)</f>
        <v>29.683499999999999</v>
      </c>
      <c r="G714" s="8">
        <f>28.3427 * CHOOSE( CONTROL!$C$15, $D$11, 100%, $F$11)</f>
        <v>28.342700000000001</v>
      </c>
      <c r="H714" s="4">
        <f>29.2267 * CHOOSE(CONTROL!$C$15, $D$11, 100%, $F$11)</f>
        <v>29.226700000000001</v>
      </c>
      <c r="I714" s="8">
        <f>27.9843 * CHOOSE(CONTROL!$C$15, $D$11, 100%, $F$11)</f>
        <v>27.984300000000001</v>
      </c>
      <c r="J714" s="4">
        <f>27.8474 * CHOOSE(CONTROL!$C$15, $D$11, 100%, $F$11)</f>
        <v>27.8474</v>
      </c>
      <c r="K714" s="4"/>
      <c r="L714" s="9">
        <v>26.469899999999999</v>
      </c>
      <c r="M714" s="9">
        <v>10.8962</v>
      </c>
      <c r="N714" s="9">
        <v>4.4660000000000002</v>
      </c>
      <c r="O714" s="9">
        <v>0.33789999999999998</v>
      </c>
      <c r="P714" s="9">
        <v>1.1676</v>
      </c>
      <c r="Q714" s="9">
        <v>17.782800000000002</v>
      </c>
      <c r="R714" s="9"/>
      <c r="S714" s="11"/>
    </row>
    <row r="715" spans="1:19" ht="15.75">
      <c r="A715" s="13">
        <v>63279</v>
      </c>
      <c r="B715" s="8">
        <f>28.4155 * CHOOSE(CONTROL!$C$15, $D$11, 100%, $F$11)</f>
        <v>28.415500000000002</v>
      </c>
      <c r="C715" s="8">
        <f>28.4207 * CHOOSE(CONTROL!$C$15, $D$11, 100%, $F$11)</f>
        <v>28.4207</v>
      </c>
      <c r="D715" s="8">
        <f>28.4027 * CHOOSE( CONTROL!$C$15, $D$11, 100%, $F$11)</f>
        <v>28.402699999999999</v>
      </c>
      <c r="E715" s="12">
        <f>28.4087 * CHOOSE( CONTROL!$C$15, $D$11, 100%, $F$11)</f>
        <v>28.4087</v>
      </c>
      <c r="F715" s="4">
        <f>29.066 * CHOOSE(CONTROL!$C$15, $D$11, 100%, $F$11)</f>
        <v>29.065999999999999</v>
      </c>
      <c r="G715" s="8">
        <f>27.7394 * CHOOSE( CONTROL!$C$15, $D$11, 100%, $F$11)</f>
        <v>27.7394</v>
      </c>
      <c r="H715" s="4">
        <f>28.6236 * CHOOSE(CONTROL!$C$15, $D$11, 100%, $F$11)</f>
        <v>28.6236</v>
      </c>
      <c r="I715" s="8">
        <f>27.39 * CHOOSE(CONTROL!$C$15, $D$11, 100%, $F$11)</f>
        <v>27.39</v>
      </c>
      <c r="J715" s="4">
        <f>27.2546 * CHOOSE(CONTROL!$C$15, $D$11, 100%, $F$11)</f>
        <v>27.2546</v>
      </c>
      <c r="K715" s="4"/>
      <c r="L715" s="9">
        <v>29.306000000000001</v>
      </c>
      <c r="M715" s="9">
        <v>12.063700000000001</v>
      </c>
      <c r="N715" s="9">
        <v>4.9444999999999997</v>
      </c>
      <c r="O715" s="9">
        <v>0.37409999999999999</v>
      </c>
      <c r="P715" s="9">
        <v>1.2927</v>
      </c>
      <c r="Q715" s="9">
        <v>19.688099999999999</v>
      </c>
      <c r="R715" s="9"/>
      <c r="S715" s="11"/>
    </row>
    <row r="716" spans="1:19" ht="15.75">
      <c r="A716" s="13">
        <v>63309</v>
      </c>
      <c r="B716" s="8">
        <f>28.8478 * CHOOSE(CONTROL!$C$15, $D$11, 100%, $F$11)</f>
        <v>28.847799999999999</v>
      </c>
      <c r="C716" s="8">
        <f>28.8524 * CHOOSE(CONTROL!$C$15, $D$11, 100%, $F$11)</f>
        <v>28.852399999999999</v>
      </c>
      <c r="D716" s="8">
        <f>28.8835 * CHOOSE( CONTROL!$C$15, $D$11, 100%, $F$11)</f>
        <v>28.883500000000002</v>
      </c>
      <c r="E716" s="12">
        <f>28.8727 * CHOOSE( CONTROL!$C$15, $D$11, 100%, $F$11)</f>
        <v>28.872699999999998</v>
      </c>
      <c r="F716" s="4">
        <f>29.5615 * CHOOSE(CONTROL!$C$15, $D$11, 100%, $F$11)</f>
        <v>29.561499999999999</v>
      </c>
      <c r="G716" s="8">
        <f>28.1616 * CHOOSE( CONTROL!$C$15, $D$11, 100%, $F$11)</f>
        <v>28.1616</v>
      </c>
      <c r="H716" s="4">
        <f>29.1076 * CHOOSE(CONTROL!$C$15, $D$11, 100%, $F$11)</f>
        <v>29.107600000000001</v>
      </c>
      <c r="I716" s="8">
        <f>27.795 * CHOOSE(CONTROL!$C$15, $D$11, 100%, $F$11)</f>
        <v>27.795000000000002</v>
      </c>
      <c r="J716" s="4">
        <f>27.6688 * CHOOSE(CONTROL!$C$15, $D$11, 100%, $F$11)</f>
        <v>27.668800000000001</v>
      </c>
      <c r="K716" s="4"/>
      <c r="L716" s="9">
        <v>30.092199999999998</v>
      </c>
      <c r="M716" s="9">
        <v>11.6745</v>
      </c>
      <c r="N716" s="9">
        <v>4.7850000000000001</v>
      </c>
      <c r="O716" s="9">
        <v>0.36199999999999999</v>
      </c>
      <c r="P716" s="9">
        <v>1.1791</v>
      </c>
      <c r="Q716" s="9">
        <v>19.053000000000001</v>
      </c>
      <c r="R716" s="9"/>
      <c r="S716" s="11"/>
    </row>
    <row r="717" spans="1:19" ht="15.75">
      <c r="A717" s="13">
        <v>63340</v>
      </c>
      <c r="B717" s="8">
        <f>CHOOSE( CONTROL!$C$32, 29.6226, 29.617) * CHOOSE(CONTROL!$C$15, $D$11, 100%, $F$11)</f>
        <v>29.622599999999998</v>
      </c>
      <c r="C717" s="8">
        <f>CHOOSE( CONTROL!$C$32, 29.6307, 29.6251) * CHOOSE(CONTROL!$C$15, $D$11, 100%, $F$11)</f>
        <v>29.630700000000001</v>
      </c>
      <c r="D717" s="8">
        <f>CHOOSE( CONTROL!$C$32, 29.6566, 29.6511) * CHOOSE( CONTROL!$C$15, $D$11, 100%, $F$11)</f>
        <v>29.656600000000001</v>
      </c>
      <c r="E717" s="12">
        <f>CHOOSE( CONTROL!$C$32, 29.646, 29.6404) * CHOOSE( CONTROL!$C$15, $D$11, 100%, $F$11)</f>
        <v>29.646000000000001</v>
      </c>
      <c r="F717" s="4">
        <f>CHOOSE( CONTROL!$C$32, 30.335, 30.3294) * CHOOSE(CONTROL!$C$15, $D$11, 100%, $F$11)</f>
        <v>30.335000000000001</v>
      </c>
      <c r="G717" s="8">
        <f>CHOOSE( CONTROL!$C$32, 28.9182, 28.9128) * CHOOSE( CONTROL!$C$15, $D$11, 100%, $F$11)</f>
        <v>28.918199999999999</v>
      </c>
      <c r="H717" s="4">
        <f>CHOOSE( CONTROL!$C$32, 29.8631, 29.8576) * CHOOSE(CONTROL!$C$15, $D$11, 100%, $F$11)</f>
        <v>29.863099999999999</v>
      </c>
      <c r="I717" s="8">
        <f>CHOOSE( CONTROL!$C$32, 28.5379, 28.5326) * CHOOSE(CONTROL!$C$15, $D$11, 100%, $F$11)</f>
        <v>28.5379</v>
      </c>
      <c r="J717" s="4">
        <f>CHOOSE( CONTROL!$C$32, 28.4114, 28.4061) * CHOOSE(CONTROL!$C$15, $D$11, 100%, $F$11)</f>
        <v>28.4114</v>
      </c>
      <c r="K717" s="4"/>
      <c r="L717" s="9">
        <v>30.7165</v>
      </c>
      <c r="M717" s="9">
        <v>12.063700000000001</v>
      </c>
      <c r="N717" s="9">
        <v>4.9444999999999997</v>
      </c>
      <c r="O717" s="9">
        <v>0.37409999999999999</v>
      </c>
      <c r="P717" s="9">
        <v>1.2183999999999999</v>
      </c>
      <c r="Q717" s="9">
        <v>19.688099999999999</v>
      </c>
      <c r="R717" s="9"/>
      <c r="S717" s="11"/>
    </row>
    <row r="718" spans="1:19" ht="15.75">
      <c r="A718" s="13">
        <v>63370</v>
      </c>
      <c r="B718" s="8">
        <f>CHOOSE( CONTROL!$C$32, 29.1469, 29.1413) * CHOOSE(CONTROL!$C$15, $D$11, 100%, $F$11)</f>
        <v>29.146899999999999</v>
      </c>
      <c r="C718" s="8">
        <f>CHOOSE( CONTROL!$C$32, 29.155, 29.1494) * CHOOSE(CONTROL!$C$15, $D$11, 100%, $F$11)</f>
        <v>29.155000000000001</v>
      </c>
      <c r="D718" s="8">
        <f>CHOOSE( CONTROL!$C$32, 29.1811, 29.1756) * CHOOSE( CONTROL!$C$15, $D$11, 100%, $F$11)</f>
        <v>29.181100000000001</v>
      </c>
      <c r="E718" s="12">
        <f>CHOOSE( CONTROL!$C$32, 29.1704, 29.1649) * CHOOSE( CONTROL!$C$15, $D$11, 100%, $F$11)</f>
        <v>29.170400000000001</v>
      </c>
      <c r="F718" s="4">
        <f>CHOOSE( CONTROL!$C$32, 29.8593, 29.8537) * CHOOSE(CONTROL!$C$15, $D$11, 100%, $F$11)</f>
        <v>29.859300000000001</v>
      </c>
      <c r="G718" s="8">
        <f>CHOOSE( CONTROL!$C$32, 28.4538, 28.4484) * CHOOSE( CONTROL!$C$15, $D$11, 100%, $F$11)</f>
        <v>28.453800000000001</v>
      </c>
      <c r="H718" s="4">
        <f>CHOOSE( CONTROL!$C$32, 29.3985, 29.393) * CHOOSE(CONTROL!$C$15, $D$11, 100%, $F$11)</f>
        <v>29.398499999999999</v>
      </c>
      <c r="I718" s="8">
        <f>CHOOSE( CONTROL!$C$32, 28.0818, 28.0764) * CHOOSE(CONTROL!$C$15, $D$11, 100%, $F$11)</f>
        <v>28.081800000000001</v>
      </c>
      <c r="J718" s="4">
        <f>CHOOSE( CONTROL!$C$32, 27.9547, 27.9494) * CHOOSE(CONTROL!$C$15, $D$11, 100%, $F$11)</f>
        <v>27.954699999999999</v>
      </c>
      <c r="K718" s="4"/>
      <c r="L718" s="9">
        <v>29.7257</v>
      </c>
      <c r="M718" s="9">
        <v>11.6745</v>
      </c>
      <c r="N718" s="9">
        <v>4.7850000000000001</v>
      </c>
      <c r="O718" s="9">
        <v>0.36199999999999999</v>
      </c>
      <c r="P718" s="9">
        <v>1.1791</v>
      </c>
      <c r="Q718" s="9">
        <v>19.053000000000001</v>
      </c>
      <c r="R718" s="9"/>
      <c r="S718" s="11"/>
    </row>
    <row r="719" spans="1:19" ht="15.75">
      <c r="A719" s="13">
        <v>63401</v>
      </c>
      <c r="B719" s="8">
        <f>CHOOSE( CONTROL!$C$32, 30.3996, 30.394) * CHOOSE(CONTROL!$C$15, $D$11, 100%, $F$11)</f>
        <v>30.3996</v>
      </c>
      <c r="C719" s="8">
        <f>CHOOSE( CONTROL!$C$32, 30.4076, 30.4021) * CHOOSE(CONTROL!$C$15, $D$11, 100%, $F$11)</f>
        <v>30.407599999999999</v>
      </c>
      <c r="D719" s="8">
        <f>CHOOSE( CONTROL!$C$32, 30.434, 30.4284) * CHOOSE( CONTROL!$C$15, $D$11, 100%, $F$11)</f>
        <v>30.434000000000001</v>
      </c>
      <c r="E719" s="12">
        <f>CHOOSE( CONTROL!$C$32, 30.4232, 30.4176) * CHOOSE( CONTROL!$C$15, $D$11, 100%, $F$11)</f>
        <v>30.423200000000001</v>
      </c>
      <c r="F719" s="4">
        <f>CHOOSE( CONTROL!$C$32, 31.1119, 31.1064) * CHOOSE(CONTROL!$C$15, $D$11, 100%, $F$11)</f>
        <v>31.111899999999999</v>
      </c>
      <c r="G719" s="8">
        <f>CHOOSE( CONTROL!$C$32, 29.6776, 29.6722) * CHOOSE( CONTROL!$C$15, $D$11, 100%, $F$11)</f>
        <v>29.677600000000002</v>
      </c>
      <c r="H719" s="4">
        <f>CHOOSE( CONTROL!$C$32, 30.6219, 30.6165) * CHOOSE(CONTROL!$C$15, $D$11, 100%, $F$11)</f>
        <v>30.6219</v>
      </c>
      <c r="I719" s="8">
        <f>CHOOSE( CONTROL!$C$32, 29.286, 29.2807) * CHOOSE(CONTROL!$C$15, $D$11, 100%, $F$11)</f>
        <v>29.286000000000001</v>
      </c>
      <c r="J719" s="4">
        <f>CHOOSE( CONTROL!$C$32, 29.1574, 29.152) * CHOOSE(CONTROL!$C$15, $D$11, 100%, $F$11)</f>
        <v>29.157399999999999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1.2183999999999999</v>
      </c>
      <c r="Q719" s="9">
        <v>19.688099999999999</v>
      </c>
      <c r="R719" s="9"/>
      <c r="S719" s="11"/>
    </row>
    <row r="720" spans="1:19" ht="15.75">
      <c r="A720" s="13">
        <v>63432</v>
      </c>
      <c r="B720" s="8">
        <f>CHOOSE( CONTROL!$C$32, 28.0557, 28.0501) * CHOOSE(CONTROL!$C$15, $D$11, 100%, $F$11)</f>
        <v>28.055700000000002</v>
      </c>
      <c r="C720" s="8">
        <f>CHOOSE( CONTROL!$C$32, 28.0638, 28.0582) * CHOOSE(CONTROL!$C$15, $D$11, 100%, $F$11)</f>
        <v>28.063800000000001</v>
      </c>
      <c r="D720" s="8">
        <f>CHOOSE( CONTROL!$C$32, 28.0902, 28.0846) * CHOOSE( CONTROL!$C$15, $D$11, 100%, $F$11)</f>
        <v>28.090199999999999</v>
      </c>
      <c r="E720" s="12">
        <f>CHOOSE( CONTROL!$C$32, 28.0794, 28.0738) * CHOOSE( CONTROL!$C$15, $D$11, 100%, $F$11)</f>
        <v>28.0794</v>
      </c>
      <c r="F720" s="4">
        <f>CHOOSE( CONTROL!$C$32, 28.7681, 28.7625) * CHOOSE(CONTROL!$C$15, $D$11, 100%, $F$11)</f>
        <v>28.7681</v>
      </c>
      <c r="G720" s="8">
        <f>CHOOSE( CONTROL!$C$32, 27.3885, 27.383) * CHOOSE( CONTROL!$C$15, $D$11, 100%, $F$11)</f>
        <v>27.388500000000001</v>
      </c>
      <c r="H720" s="4">
        <f>CHOOSE( CONTROL!$C$32, 28.3327, 28.3272) * CHOOSE(CONTROL!$C$15, $D$11, 100%, $F$11)</f>
        <v>28.332699999999999</v>
      </c>
      <c r="I720" s="8">
        <f>CHOOSE( CONTROL!$C$32, 27.0348, 27.0295) * CHOOSE(CONTROL!$C$15, $D$11, 100%, $F$11)</f>
        <v>27.034800000000001</v>
      </c>
      <c r="J720" s="4">
        <f>CHOOSE( CONTROL!$C$32, 26.9071, 26.9017) * CHOOSE(CONTROL!$C$15, $D$11, 100%, $F$11)</f>
        <v>26.9071</v>
      </c>
      <c r="K720" s="4"/>
      <c r="L720" s="9">
        <v>30.7165</v>
      </c>
      <c r="M720" s="9">
        <v>12.063700000000001</v>
      </c>
      <c r="N720" s="9">
        <v>4.9444999999999997</v>
      </c>
      <c r="O720" s="9">
        <v>0.37409999999999999</v>
      </c>
      <c r="P720" s="9">
        <v>1.2183999999999999</v>
      </c>
      <c r="Q720" s="9">
        <v>19.688099999999999</v>
      </c>
      <c r="R720" s="9"/>
      <c r="S720" s="11"/>
    </row>
    <row r="721" spans="1:19" ht="15.75">
      <c r="A721" s="13">
        <v>63462</v>
      </c>
      <c r="B721" s="8">
        <f>CHOOSE( CONTROL!$C$32, 27.4688, 27.4632) * CHOOSE(CONTROL!$C$15, $D$11, 100%, $F$11)</f>
        <v>27.468800000000002</v>
      </c>
      <c r="C721" s="8">
        <f>CHOOSE( CONTROL!$C$32, 27.4769, 27.4713) * CHOOSE(CONTROL!$C$15, $D$11, 100%, $F$11)</f>
        <v>27.476900000000001</v>
      </c>
      <c r="D721" s="8">
        <f>CHOOSE( CONTROL!$C$32, 27.5032, 27.4977) * CHOOSE( CONTROL!$C$15, $D$11, 100%, $F$11)</f>
        <v>27.5032</v>
      </c>
      <c r="E721" s="12">
        <f>CHOOSE( CONTROL!$C$32, 27.4924, 27.4869) * CHOOSE( CONTROL!$C$15, $D$11, 100%, $F$11)</f>
        <v>27.4924</v>
      </c>
      <c r="F721" s="4">
        <f>CHOOSE( CONTROL!$C$32, 28.1812, 28.1756) * CHOOSE(CONTROL!$C$15, $D$11, 100%, $F$11)</f>
        <v>28.1812</v>
      </c>
      <c r="G721" s="8">
        <f>CHOOSE( CONTROL!$C$32, 26.8151, 26.8097) * CHOOSE( CONTROL!$C$15, $D$11, 100%, $F$11)</f>
        <v>26.815100000000001</v>
      </c>
      <c r="H721" s="4">
        <f>CHOOSE( CONTROL!$C$32, 27.7594, 27.754) * CHOOSE(CONTROL!$C$15, $D$11, 100%, $F$11)</f>
        <v>27.759399999999999</v>
      </c>
      <c r="I721" s="8">
        <f>CHOOSE( CONTROL!$C$32, 26.4708, 26.4655) * CHOOSE(CONTROL!$C$15, $D$11, 100%, $F$11)</f>
        <v>26.470800000000001</v>
      </c>
      <c r="J721" s="4">
        <f>CHOOSE( CONTROL!$C$32, 26.3436, 26.3382) * CHOOSE(CONTROL!$C$15, $D$11, 100%, $F$11)</f>
        <v>26.343599999999999</v>
      </c>
      <c r="K721" s="4"/>
      <c r="L721" s="9">
        <v>29.7257</v>
      </c>
      <c r="M721" s="9">
        <v>11.6745</v>
      </c>
      <c r="N721" s="9">
        <v>4.7850000000000001</v>
      </c>
      <c r="O721" s="9">
        <v>0.36199999999999999</v>
      </c>
      <c r="P721" s="9">
        <v>1.1791</v>
      </c>
      <c r="Q721" s="9">
        <v>19.053000000000001</v>
      </c>
      <c r="R721" s="9"/>
      <c r="S721" s="11"/>
    </row>
    <row r="722" spans="1:19" ht="15.75">
      <c r="A722" s="13">
        <v>63493</v>
      </c>
      <c r="B722" s="8">
        <f>28.6802 * CHOOSE(CONTROL!$C$15, $D$11, 100%, $F$11)</f>
        <v>28.680199999999999</v>
      </c>
      <c r="C722" s="8">
        <f>28.6856 * CHOOSE(CONTROL!$C$15, $D$11, 100%, $F$11)</f>
        <v>28.685600000000001</v>
      </c>
      <c r="D722" s="8">
        <f>28.7168 * CHOOSE( CONTROL!$C$15, $D$11, 100%, $F$11)</f>
        <v>28.716799999999999</v>
      </c>
      <c r="E722" s="12">
        <f>28.7059 * CHOOSE( CONTROL!$C$15, $D$11, 100%, $F$11)</f>
        <v>28.7059</v>
      </c>
      <c r="F722" s="4">
        <f>29.3943 * CHOOSE(CONTROL!$C$15, $D$11, 100%, $F$11)</f>
        <v>29.394300000000001</v>
      </c>
      <c r="G722" s="8">
        <f>27.9991 * CHOOSE( CONTROL!$C$15, $D$11, 100%, $F$11)</f>
        <v>27.999099999999999</v>
      </c>
      <c r="H722" s="4">
        <f>28.9443 * CHOOSE(CONTROL!$C$15, $D$11, 100%, $F$11)</f>
        <v>28.944299999999998</v>
      </c>
      <c r="I722" s="8">
        <f>27.637 * CHOOSE(CONTROL!$C$15, $D$11, 100%, $F$11)</f>
        <v>27.637</v>
      </c>
      <c r="J722" s="4">
        <f>27.5082 * CHOOSE(CONTROL!$C$15, $D$11, 100%, $F$11)</f>
        <v>27.508199999999999</v>
      </c>
      <c r="K722" s="4"/>
      <c r="L722" s="9">
        <v>31.095300000000002</v>
      </c>
      <c r="M722" s="9">
        <v>12.063700000000001</v>
      </c>
      <c r="N722" s="9">
        <v>4.9444999999999997</v>
      </c>
      <c r="O722" s="9">
        <v>0.37409999999999999</v>
      </c>
      <c r="P722" s="9">
        <v>1.2183999999999999</v>
      </c>
      <c r="Q722" s="9">
        <v>19.688099999999999</v>
      </c>
      <c r="R722" s="9"/>
      <c r="S722" s="11"/>
    </row>
    <row r="723" spans="1:19" ht="15.75">
      <c r="A723" s="13">
        <v>63523</v>
      </c>
      <c r="B723" s="8">
        <f>30.9291 * CHOOSE(CONTROL!$C$15, $D$11, 100%, $F$11)</f>
        <v>30.929099999999998</v>
      </c>
      <c r="C723" s="8">
        <f>30.9343 * CHOOSE(CONTROL!$C$15, $D$11, 100%, $F$11)</f>
        <v>30.9343</v>
      </c>
      <c r="D723" s="8">
        <f>30.9206 * CHOOSE( CONTROL!$C$15, $D$11, 100%, $F$11)</f>
        <v>30.9206</v>
      </c>
      <c r="E723" s="12">
        <f>30.9251 * CHOOSE( CONTROL!$C$15, $D$11, 100%, $F$11)</f>
        <v>30.9251</v>
      </c>
      <c r="F723" s="4">
        <f>31.5796 * CHOOSE(CONTROL!$C$15, $D$11, 100%, $F$11)</f>
        <v>31.579599999999999</v>
      </c>
      <c r="G723" s="8">
        <f>30.2037 * CHOOSE( CONTROL!$C$15, $D$11, 100%, $F$11)</f>
        <v>30.203700000000001</v>
      </c>
      <c r="H723" s="4">
        <f>31.0787 * CHOOSE(CONTROL!$C$15, $D$11, 100%, $F$11)</f>
        <v>31.078700000000001</v>
      </c>
      <c r="I723" s="8">
        <f>29.8413 * CHOOSE(CONTROL!$C$15, $D$11, 100%, $F$11)</f>
        <v>29.8413</v>
      </c>
      <c r="J723" s="4">
        <f>29.6679 * CHOOSE(CONTROL!$C$15, $D$11, 100%, $F$11)</f>
        <v>29.667899999999999</v>
      </c>
      <c r="K723" s="4"/>
      <c r="L723" s="9">
        <v>28.360600000000002</v>
      </c>
      <c r="M723" s="9">
        <v>11.6745</v>
      </c>
      <c r="N723" s="9">
        <v>4.7850000000000001</v>
      </c>
      <c r="O723" s="9">
        <v>0.36199999999999999</v>
      </c>
      <c r="P723" s="9">
        <v>1.2509999999999999</v>
      </c>
      <c r="Q723" s="9">
        <v>19.053000000000001</v>
      </c>
      <c r="R723" s="9"/>
      <c r="S723" s="11"/>
    </row>
    <row r="724" spans="1:19" ht="15.75">
      <c r="A724" s="13">
        <v>63554</v>
      </c>
      <c r="B724" s="8">
        <f>30.8729 * CHOOSE(CONTROL!$C$15, $D$11, 100%, $F$11)</f>
        <v>30.872900000000001</v>
      </c>
      <c r="C724" s="8">
        <f>30.8781 * CHOOSE(CONTROL!$C$15, $D$11, 100%, $F$11)</f>
        <v>30.8781</v>
      </c>
      <c r="D724" s="8">
        <f>30.8659 * CHOOSE( CONTROL!$C$15, $D$11, 100%, $F$11)</f>
        <v>30.8659</v>
      </c>
      <c r="E724" s="12">
        <f>30.8698 * CHOOSE( CONTROL!$C$15, $D$11, 100%, $F$11)</f>
        <v>30.869800000000001</v>
      </c>
      <c r="F724" s="4">
        <f>31.5234 * CHOOSE(CONTROL!$C$15, $D$11, 100%, $F$11)</f>
        <v>31.523399999999999</v>
      </c>
      <c r="G724" s="8">
        <f>30.1499 * CHOOSE( CONTROL!$C$15, $D$11, 100%, $F$11)</f>
        <v>30.149899999999999</v>
      </c>
      <c r="H724" s="4">
        <f>31.0238 * CHOOSE(CONTROL!$C$15, $D$11, 100%, $F$11)</f>
        <v>31.023800000000001</v>
      </c>
      <c r="I724" s="8">
        <f>29.7921 * CHOOSE(CONTROL!$C$15, $D$11, 100%, $F$11)</f>
        <v>29.792100000000001</v>
      </c>
      <c r="J724" s="4">
        <f>29.6139 * CHOOSE(CONTROL!$C$15, $D$11, 100%, $F$11)</f>
        <v>29.613900000000001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63585</v>
      </c>
      <c r="B725" s="8">
        <f>32.0518 * CHOOSE(CONTROL!$C$15, $D$11, 100%, $F$11)</f>
        <v>32.0518</v>
      </c>
      <c r="C725" s="8">
        <f>32.057 * CHOOSE(CONTROL!$C$15, $D$11, 100%, $F$11)</f>
        <v>32.057000000000002</v>
      </c>
      <c r="D725" s="8">
        <f>32.0394 * CHOOSE( CONTROL!$C$15, $D$11, 100%, $F$11)</f>
        <v>32.039400000000001</v>
      </c>
      <c r="E725" s="12">
        <f>32.0453 * CHOOSE( CONTROL!$C$15, $D$11, 100%, $F$11)</f>
        <v>32.045299999999997</v>
      </c>
      <c r="F725" s="4">
        <f>32.7023 * CHOOSE(CONTROL!$C$15, $D$11, 100%, $F$11)</f>
        <v>32.702300000000001</v>
      </c>
      <c r="G725" s="8">
        <f>31.2913 * CHOOSE( CONTROL!$C$15, $D$11, 100%, $F$11)</f>
        <v>31.2913</v>
      </c>
      <c r="H725" s="4">
        <f>32.1752 * CHOOSE(CONTROL!$C$15, $D$11, 100%, $F$11)</f>
        <v>32.175199999999997</v>
      </c>
      <c r="I725" s="8">
        <f>30.8843 * CHOOSE(CONTROL!$C$15, $D$11, 100%, $F$11)</f>
        <v>30.8843</v>
      </c>
      <c r="J725" s="4">
        <f>30.7458 * CHOOSE(CONTROL!$C$15, $D$11, 100%, $F$11)</f>
        <v>30.745799999999999</v>
      </c>
      <c r="K725" s="4"/>
      <c r="L725" s="9">
        <v>29.306000000000001</v>
      </c>
      <c r="M725" s="9">
        <v>12.063700000000001</v>
      </c>
      <c r="N725" s="9">
        <v>4.9444999999999997</v>
      </c>
      <c r="O725" s="9">
        <v>0.37409999999999999</v>
      </c>
      <c r="P725" s="9">
        <v>1.2927</v>
      </c>
      <c r="Q725" s="9">
        <v>19.688099999999999</v>
      </c>
      <c r="R725" s="9"/>
      <c r="S725" s="11"/>
    </row>
    <row r="726" spans="1:19" ht="15.75">
      <c r="A726" s="13">
        <v>63613</v>
      </c>
      <c r="B726" s="8">
        <f>29.9815 * CHOOSE(CONTROL!$C$15, $D$11, 100%, $F$11)</f>
        <v>29.9815</v>
      </c>
      <c r="C726" s="8">
        <f>29.9867 * CHOOSE(CONTROL!$C$15, $D$11, 100%, $F$11)</f>
        <v>29.986699999999999</v>
      </c>
      <c r="D726" s="8">
        <f>29.9691 * CHOOSE( CONTROL!$C$15, $D$11, 100%, $F$11)</f>
        <v>29.969100000000001</v>
      </c>
      <c r="E726" s="12">
        <f>29.975 * CHOOSE( CONTROL!$C$15, $D$11, 100%, $F$11)</f>
        <v>29.975000000000001</v>
      </c>
      <c r="F726" s="4">
        <f>30.632 * CHOOSE(CONTROL!$C$15, $D$11, 100%, $F$11)</f>
        <v>30.632000000000001</v>
      </c>
      <c r="G726" s="8">
        <f>29.2692 * CHOOSE( CONTROL!$C$15, $D$11, 100%, $F$11)</f>
        <v>29.269200000000001</v>
      </c>
      <c r="H726" s="4">
        <f>30.1532 * CHOOSE(CONTROL!$C$15, $D$11, 100%, $F$11)</f>
        <v>30.153199999999998</v>
      </c>
      <c r="I726" s="8">
        <f>28.8955 * CHOOSE(CONTROL!$C$15, $D$11, 100%, $F$11)</f>
        <v>28.895499999999998</v>
      </c>
      <c r="J726" s="4">
        <f>28.7581 * CHOOSE(CONTROL!$C$15, $D$11, 100%, $F$11)</f>
        <v>28.758099999999999</v>
      </c>
      <c r="K726" s="4"/>
      <c r="L726" s="9">
        <v>26.469899999999999</v>
      </c>
      <c r="M726" s="9">
        <v>10.8962</v>
      </c>
      <c r="N726" s="9">
        <v>4.4660000000000002</v>
      </c>
      <c r="O726" s="9">
        <v>0.33789999999999998</v>
      </c>
      <c r="P726" s="9">
        <v>1.1676</v>
      </c>
      <c r="Q726" s="9">
        <v>17.782800000000002</v>
      </c>
      <c r="R726" s="9"/>
      <c r="S726" s="11"/>
    </row>
    <row r="727" spans="1:19" ht="15.75">
      <c r="A727" s="13">
        <v>63644</v>
      </c>
      <c r="B727" s="8">
        <f>29.3439 * CHOOSE(CONTROL!$C$15, $D$11, 100%, $F$11)</f>
        <v>29.343900000000001</v>
      </c>
      <c r="C727" s="8">
        <f>29.3491 * CHOOSE(CONTROL!$C$15, $D$11, 100%, $F$11)</f>
        <v>29.3491</v>
      </c>
      <c r="D727" s="8">
        <f>29.3311 * CHOOSE( CONTROL!$C$15, $D$11, 100%, $F$11)</f>
        <v>29.331099999999999</v>
      </c>
      <c r="E727" s="12">
        <f>29.3371 * CHOOSE( CONTROL!$C$15, $D$11, 100%, $F$11)</f>
        <v>29.3371</v>
      </c>
      <c r="F727" s="4">
        <f>29.9944 * CHOOSE(CONTROL!$C$15, $D$11, 100%, $F$11)</f>
        <v>29.994399999999999</v>
      </c>
      <c r="G727" s="8">
        <f>28.6461 * CHOOSE( CONTROL!$C$15, $D$11, 100%, $F$11)</f>
        <v>28.646100000000001</v>
      </c>
      <c r="H727" s="4">
        <f>29.5304 * CHOOSE(CONTROL!$C$15, $D$11, 100%, $F$11)</f>
        <v>29.5304</v>
      </c>
      <c r="I727" s="8">
        <f>28.2818 * CHOOSE(CONTROL!$C$15, $D$11, 100%, $F$11)</f>
        <v>28.2818</v>
      </c>
      <c r="J727" s="4">
        <f>28.1459 * CHOOSE(CONTROL!$C$15, $D$11, 100%, $F$11)</f>
        <v>28.145900000000001</v>
      </c>
      <c r="K727" s="4"/>
      <c r="L727" s="9">
        <v>29.306000000000001</v>
      </c>
      <c r="M727" s="9">
        <v>12.063700000000001</v>
      </c>
      <c r="N727" s="9">
        <v>4.9444999999999997</v>
      </c>
      <c r="O727" s="9">
        <v>0.37409999999999999</v>
      </c>
      <c r="P727" s="9">
        <v>1.2927</v>
      </c>
      <c r="Q727" s="9">
        <v>19.688099999999999</v>
      </c>
      <c r="R727" s="9"/>
      <c r="S727" s="11"/>
    </row>
    <row r="728" spans="1:19" ht="15.75">
      <c r="A728" s="13">
        <v>63674</v>
      </c>
      <c r="B728" s="8">
        <f>29.7902 * CHOOSE(CONTROL!$C$15, $D$11, 100%, $F$11)</f>
        <v>29.790199999999999</v>
      </c>
      <c r="C728" s="8">
        <f>29.7949 * CHOOSE(CONTROL!$C$15, $D$11, 100%, $F$11)</f>
        <v>29.794899999999998</v>
      </c>
      <c r="D728" s="8">
        <f>29.826 * CHOOSE( CONTROL!$C$15, $D$11, 100%, $F$11)</f>
        <v>29.826000000000001</v>
      </c>
      <c r="E728" s="12">
        <f>29.8152 * CHOOSE( CONTROL!$C$15, $D$11, 100%, $F$11)</f>
        <v>29.815200000000001</v>
      </c>
      <c r="F728" s="4">
        <f>30.504 * CHOOSE(CONTROL!$C$15, $D$11, 100%, $F$11)</f>
        <v>30.504000000000001</v>
      </c>
      <c r="G728" s="8">
        <f>29.0822 * CHOOSE( CONTROL!$C$15, $D$11, 100%, $F$11)</f>
        <v>29.0822</v>
      </c>
      <c r="H728" s="4">
        <f>30.0281 * CHOOSE(CONTROL!$C$15, $D$11, 100%, $F$11)</f>
        <v>30.028099999999998</v>
      </c>
      <c r="I728" s="8">
        <f>28.7003 * CHOOSE(CONTROL!$C$15, $D$11, 100%, $F$11)</f>
        <v>28.700299999999999</v>
      </c>
      <c r="J728" s="4">
        <f>28.5737 * CHOOSE(CONTROL!$C$15, $D$11, 100%, $F$11)</f>
        <v>28.573699999999999</v>
      </c>
      <c r="K728" s="4"/>
      <c r="L728" s="9">
        <v>30.092199999999998</v>
      </c>
      <c r="M728" s="9">
        <v>11.6745</v>
      </c>
      <c r="N728" s="9">
        <v>4.7850000000000001</v>
      </c>
      <c r="O728" s="9">
        <v>0.36199999999999999</v>
      </c>
      <c r="P728" s="9">
        <v>1.1791</v>
      </c>
      <c r="Q728" s="9">
        <v>19.053000000000001</v>
      </c>
      <c r="R728" s="9"/>
      <c r="S728" s="11"/>
    </row>
    <row r="729" spans="1:19" ht="15.75">
      <c r="A729" s="13">
        <v>63705</v>
      </c>
      <c r="B729" s="8">
        <f>CHOOSE( CONTROL!$C$32, 30.5902, 30.5846) * CHOOSE(CONTROL!$C$15, $D$11, 100%, $F$11)</f>
        <v>30.590199999999999</v>
      </c>
      <c r="C729" s="8">
        <f>CHOOSE( CONTROL!$C$32, 30.5983, 30.5927) * CHOOSE(CONTROL!$C$15, $D$11, 100%, $F$11)</f>
        <v>30.598299999999998</v>
      </c>
      <c r="D729" s="8">
        <f>CHOOSE( CONTROL!$C$32, 30.6242, 30.6187) * CHOOSE( CONTROL!$C$15, $D$11, 100%, $F$11)</f>
        <v>30.624199999999998</v>
      </c>
      <c r="E729" s="12">
        <f>CHOOSE( CONTROL!$C$32, 30.6136, 30.608) * CHOOSE( CONTROL!$C$15, $D$11, 100%, $F$11)</f>
        <v>30.613600000000002</v>
      </c>
      <c r="F729" s="4">
        <f>CHOOSE( CONTROL!$C$32, 31.3026, 31.297) * CHOOSE(CONTROL!$C$15, $D$11, 100%, $F$11)</f>
        <v>31.302600000000002</v>
      </c>
      <c r="G729" s="8">
        <f>CHOOSE( CONTROL!$C$32, 29.8632, 29.8578) * CHOOSE( CONTROL!$C$15, $D$11, 100%, $F$11)</f>
        <v>29.863199999999999</v>
      </c>
      <c r="H729" s="4">
        <f>CHOOSE( CONTROL!$C$32, 30.8081, 30.8027) * CHOOSE(CONTROL!$C$15, $D$11, 100%, $F$11)</f>
        <v>30.8081</v>
      </c>
      <c r="I729" s="8">
        <f>CHOOSE( CONTROL!$C$32, 29.4674, 29.462) * CHOOSE(CONTROL!$C$15, $D$11, 100%, $F$11)</f>
        <v>29.467400000000001</v>
      </c>
      <c r="J729" s="4">
        <f>CHOOSE( CONTROL!$C$32, 29.3404, 29.3351) * CHOOSE(CONTROL!$C$15, $D$11, 100%, $F$11)</f>
        <v>29.340399999999999</v>
      </c>
      <c r="K729" s="4"/>
      <c r="L729" s="9">
        <v>30.7165</v>
      </c>
      <c r="M729" s="9">
        <v>12.063700000000001</v>
      </c>
      <c r="N729" s="9">
        <v>4.9444999999999997</v>
      </c>
      <c r="O729" s="9">
        <v>0.37409999999999999</v>
      </c>
      <c r="P729" s="9">
        <v>1.2183999999999999</v>
      </c>
      <c r="Q729" s="9">
        <v>19.688099999999999</v>
      </c>
      <c r="R729" s="9"/>
      <c r="S729" s="11"/>
    </row>
    <row r="730" spans="1:19" ht="15.75">
      <c r="A730" s="13">
        <v>63735</v>
      </c>
      <c r="B730" s="8">
        <f>CHOOSE( CONTROL!$C$32, 30.0989, 30.0934) * CHOOSE(CONTROL!$C$15, $D$11, 100%, $F$11)</f>
        <v>30.0989</v>
      </c>
      <c r="C730" s="8">
        <f>CHOOSE( CONTROL!$C$32, 30.107, 30.1015) * CHOOSE(CONTROL!$C$15, $D$11, 100%, $F$11)</f>
        <v>30.106999999999999</v>
      </c>
      <c r="D730" s="8">
        <f>CHOOSE( CONTROL!$C$32, 30.1332, 30.1276) * CHOOSE( CONTROL!$C$15, $D$11, 100%, $F$11)</f>
        <v>30.133199999999999</v>
      </c>
      <c r="E730" s="12">
        <f>CHOOSE( CONTROL!$C$32, 30.1225, 30.1169) * CHOOSE( CONTROL!$C$15, $D$11, 100%, $F$11)</f>
        <v>30.122499999999999</v>
      </c>
      <c r="F730" s="4">
        <f>CHOOSE( CONTROL!$C$32, 30.8113, 30.8058) * CHOOSE(CONTROL!$C$15, $D$11, 100%, $F$11)</f>
        <v>30.811299999999999</v>
      </c>
      <c r="G730" s="8">
        <f>CHOOSE( CONTROL!$C$32, 29.3837, 29.3783) * CHOOSE( CONTROL!$C$15, $D$11, 100%, $F$11)</f>
        <v>29.383700000000001</v>
      </c>
      <c r="H730" s="4">
        <f>CHOOSE( CONTROL!$C$32, 30.3283, 30.3229) * CHOOSE(CONTROL!$C$15, $D$11, 100%, $F$11)</f>
        <v>30.328299999999999</v>
      </c>
      <c r="I730" s="8">
        <f>CHOOSE( CONTROL!$C$32, 28.9963, 28.9909) * CHOOSE(CONTROL!$C$15, $D$11, 100%, $F$11)</f>
        <v>28.996300000000002</v>
      </c>
      <c r="J730" s="4">
        <f>CHOOSE( CONTROL!$C$32, 28.8688, 28.8634) * CHOOSE(CONTROL!$C$15, $D$11, 100%, $F$11)</f>
        <v>28.8688</v>
      </c>
      <c r="K730" s="4"/>
      <c r="L730" s="9">
        <v>29.7257</v>
      </c>
      <c r="M730" s="9">
        <v>11.6745</v>
      </c>
      <c r="N730" s="9">
        <v>4.7850000000000001</v>
      </c>
      <c r="O730" s="9">
        <v>0.36199999999999999</v>
      </c>
      <c r="P730" s="9">
        <v>1.1791</v>
      </c>
      <c r="Q730" s="9">
        <v>19.053000000000001</v>
      </c>
      <c r="R730" s="9"/>
      <c r="S730" s="11"/>
    </row>
    <row r="731" spans="1:19" ht="15.75">
      <c r="A731" s="13">
        <v>63766</v>
      </c>
      <c r="B731" s="8">
        <f>CHOOSE( CONTROL!$C$32, 31.3926, 31.387) * CHOOSE(CONTROL!$C$15, $D$11, 100%, $F$11)</f>
        <v>31.392600000000002</v>
      </c>
      <c r="C731" s="8">
        <f>CHOOSE( CONTROL!$C$32, 31.4006, 31.3951) * CHOOSE(CONTROL!$C$15, $D$11, 100%, $F$11)</f>
        <v>31.400600000000001</v>
      </c>
      <c r="D731" s="8">
        <f>CHOOSE( CONTROL!$C$32, 31.427, 31.4214) * CHOOSE( CONTROL!$C$15, $D$11, 100%, $F$11)</f>
        <v>31.427</v>
      </c>
      <c r="E731" s="12">
        <f>CHOOSE( CONTROL!$C$32, 31.4162, 31.4106) * CHOOSE( CONTROL!$C$15, $D$11, 100%, $F$11)</f>
        <v>31.4162</v>
      </c>
      <c r="F731" s="4">
        <f>CHOOSE( CONTROL!$C$32, 32.1049, 32.0994) * CHOOSE(CONTROL!$C$15, $D$11, 100%, $F$11)</f>
        <v>32.104900000000001</v>
      </c>
      <c r="G731" s="8">
        <f>CHOOSE( CONTROL!$C$32, 30.6475, 30.642) * CHOOSE( CONTROL!$C$15, $D$11, 100%, $F$11)</f>
        <v>30.647500000000001</v>
      </c>
      <c r="H731" s="4">
        <f>CHOOSE( CONTROL!$C$32, 31.5918, 31.5864) * CHOOSE(CONTROL!$C$15, $D$11, 100%, $F$11)</f>
        <v>31.591799999999999</v>
      </c>
      <c r="I731" s="8">
        <f>CHOOSE( CONTROL!$C$32, 30.2399, 30.2345) * CHOOSE(CONTROL!$C$15, $D$11, 100%, $F$11)</f>
        <v>30.239899999999999</v>
      </c>
      <c r="J731" s="4">
        <f>CHOOSE( CONTROL!$C$32, 30.1108, 30.1054) * CHOOSE(CONTROL!$C$15, $D$11, 100%, $F$11)</f>
        <v>30.110800000000001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1.2183999999999999</v>
      </c>
      <c r="Q731" s="9">
        <v>19.688099999999999</v>
      </c>
      <c r="R731" s="9"/>
      <c r="S731" s="11"/>
    </row>
    <row r="732" spans="1:19" ht="15.75">
      <c r="A732" s="13">
        <v>63797</v>
      </c>
      <c r="B732" s="8">
        <f>CHOOSE( CONTROL!$C$32, 28.9721, 28.9665) * CHOOSE(CONTROL!$C$15, $D$11, 100%, $F$11)</f>
        <v>28.972100000000001</v>
      </c>
      <c r="C732" s="8">
        <f>CHOOSE( CONTROL!$C$32, 28.9801, 28.9746) * CHOOSE(CONTROL!$C$15, $D$11, 100%, $F$11)</f>
        <v>28.9801</v>
      </c>
      <c r="D732" s="8">
        <f>CHOOSE( CONTROL!$C$32, 29.0065, 29.001) * CHOOSE( CONTROL!$C$15, $D$11, 100%, $F$11)</f>
        <v>29.006499999999999</v>
      </c>
      <c r="E732" s="12">
        <f>CHOOSE( CONTROL!$C$32, 28.9957, 28.9902) * CHOOSE( CONTROL!$C$15, $D$11, 100%, $F$11)</f>
        <v>28.995699999999999</v>
      </c>
      <c r="F732" s="4">
        <f>CHOOSE( CONTROL!$C$32, 29.6845, 29.6789) * CHOOSE(CONTROL!$C$15, $D$11, 100%, $F$11)</f>
        <v>29.6845</v>
      </c>
      <c r="G732" s="8">
        <f>CHOOSE( CONTROL!$C$32, 28.2835, 28.278) * CHOOSE( CONTROL!$C$15, $D$11, 100%, $F$11)</f>
        <v>28.2835</v>
      </c>
      <c r="H732" s="4">
        <f>CHOOSE( CONTROL!$C$32, 29.2277, 29.2222) * CHOOSE(CONTROL!$C$15, $D$11, 100%, $F$11)</f>
        <v>29.227699999999999</v>
      </c>
      <c r="I732" s="8">
        <f>CHOOSE( CONTROL!$C$32, 27.9151, 27.9097) * CHOOSE(CONTROL!$C$15, $D$11, 100%, $F$11)</f>
        <v>27.915099999999999</v>
      </c>
      <c r="J732" s="4">
        <f>CHOOSE( CONTROL!$C$32, 27.7869, 27.7815) * CHOOSE(CONTROL!$C$15, $D$11, 100%, $F$11)</f>
        <v>27.786899999999999</v>
      </c>
      <c r="K732" s="4"/>
      <c r="L732" s="9">
        <v>30.7165</v>
      </c>
      <c r="M732" s="9">
        <v>12.063700000000001</v>
      </c>
      <c r="N732" s="9">
        <v>4.9444999999999997</v>
      </c>
      <c r="O732" s="9">
        <v>0.37409999999999999</v>
      </c>
      <c r="P732" s="9">
        <v>1.2183999999999999</v>
      </c>
      <c r="Q732" s="9">
        <v>19.688099999999999</v>
      </c>
      <c r="R732" s="9"/>
      <c r="S732" s="11"/>
    </row>
    <row r="733" spans="1:19" ht="15.75">
      <c r="A733" s="13">
        <v>63827</v>
      </c>
      <c r="B733" s="8">
        <f>CHOOSE( CONTROL!$C$32, 28.3659, 28.3604) * CHOOSE(CONTROL!$C$15, $D$11, 100%, $F$11)</f>
        <v>28.3659</v>
      </c>
      <c r="C733" s="8">
        <f>CHOOSE( CONTROL!$C$32, 28.374, 28.3685) * CHOOSE(CONTROL!$C$15, $D$11, 100%, $F$11)</f>
        <v>28.373999999999999</v>
      </c>
      <c r="D733" s="8">
        <f>CHOOSE( CONTROL!$C$32, 28.4004, 28.3948) * CHOOSE( CONTROL!$C$15, $D$11, 100%, $F$11)</f>
        <v>28.400400000000001</v>
      </c>
      <c r="E733" s="12">
        <f>CHOOSE( CONTROL!$C$32, 28.3896, 28.384) * CHOOSE( CONTROL!$C$15, $D$11, 100%, $F$11)</f>
        <v>28.389600000000002</v>
      </c>
      <c r="F733" s="4">
        <f>CHOOSE( CONTROL!$C$32, 29.0783, 29.0728) * CHOOSE(CONTROL!$C$15, $D$11, 100%, $F$11)</f>
        <v>29.078299999999999</v>
      </c>
      <c r="G733" s="8">
        <f>CHOOSE( CONTROL!$C$32, 27.6914, 27.6859) * CHOOSE( CONTROL!$C$15, $D$11, 100%, $F$11)</f>
        <v>27.691400000000002</v>
      </c>
      <c r="H733" s="4">
        <f>CHOOSE( CONTROL!$C$32, 28.6357, 28.6302) * CHOOSE(CONTROL!$C$15, $D$11, 100%, $F$11)</f>
        <v>28.6357</v>
      </c>
      <c r="I733" s="8">
        <f>CHOOSE( CONTROL!$C$32, 27.3326, 27.3273) * CHOOSE(CONTROL!$C$15, $D$11, 100%, $F$11)</f>
        <v>27.332599999999999</v>
      </c>
      <c r="J733" s="4">
        <f>CHOOSE( CONTROL!$C$32, 27.2049, 27.1996) * CHOOSE(CONTROL!$C$15, $D$11, 100%, $F$11)</f>
        <v>27.204899999999999</v>
      </c>
      <c r="K733" s="4"/>
      <c r="L733" s="9">
        <v>29.7257</v>
      </c>
      <c r="M733" s="9">
        <v>11.6745</v>
      </c>
      <c r="N733" s="9">
        <v>4.7850000000000001</v>
      </c>
      <c r="O733" s="9">
        <v>0.36199999999999999</v>
      </c>
      <c r="P733" s="9">
        <v>1.1791</v>
      </c>
      <c r="Q733" s="9">
        <v>19.053000000000001</v>
      </c>
      <c r="R733" s="9"/>
      <c r="S733" s="11"/>
    </row>
    <row r="734" spans="1:19" ht="15.75">
      <c r="A734" s="13">
        <v>63858</v>
      </c>
      <c r="B734" s="8">
        <f>29.6172 * CHOOSE(CONTROL!$C$15, $D$11, 100%, $F$11)</f>
        <v>29.6172</v>
      </c>
      <c r="C734" s="8">
        <f>29.6226 * CHOOSE(CONTROL!$C$15, $D$11, 100%, $F$11)</f>
        <v>29.622599999999998</v>
      </c>
      <c r="D734" s="8">
        <f>29.6538 * CHOOSE( CONTROL!$C$15, $D$11, 100%, $F$11)</f>
        <v>29.6538</v>
      </c>
      <c r="E734" s="12">
        <f>29.6429 * CHOOSE( CONTROL!$C$15, $D$11, 100%, $F$11)</f>
        <v>29.642900000000001</v>
      </c>
      <c r="F734" s="4">
        <f>30.3313 * CHOOSE(CONTROL!$C$15, $D$11, 100%, $F$11)</f>
        <v>30.331299999999999</v>
      </c>
      <c r="G734" s="8">
        <f>28.9143 * CHOOSE( CONTROL!$C$15, $D$11, 100%, $F$11)</f>
        <v>28.914300000000001</v>
      </c>
      <c r="H734" s="4">
        <f>29.8594 * CHOOSE(CONTROL!$C$15, $D$11, 100%, $F$11)</f>
        <v>29.859400000000001</v>
      </c>
      <c r="I734" s="8">
        <f>28.537 * CHOOSE(CONTROL!$C$15, $D$11, 100%, $F$11)</f>
        <v>28.536999999999999</v>
      </c>
      <c r="J734" s="4">
        <f>28.4079 * CHOOSE(CONTROL!$C$15, $D$11, 100%, $F$11)</f>
        <v>28.407900000000001</v>
      </c>
      <c r="K734" s="4"/>
      <c r="L734" s="9">
        <v>31.095300000000002</v>
      </c>
      <c r="M734" s="9">
        <v>12.063700000000001</v>
      </c>
      <c r="N734" s="9">
        <v>4.9444999999999997</v>
      </c>
      <c r="O734" s="9">
        <v>0.37409999999999999</v>
      </c>
      <c r="P734" s="9">
        <v>1.2183999999999999</v>
      </c>
      <c r="Q734" s="9">
        <v>19.688099999999999</v>
      </c>
      <c r="R734" s="9"/>
      <c r="S734" s="11"/>
    </row>
    <row r="735" spans="1:19" ht="15.75">
      <c r="A735" s="13">
        <v>63888</v>
      </c>
      <c r="B735" s="8">
        <f>31.9397 * CHOOSE(CONTROL!$C$15, $D$11, 100%, $F$11)</f>
        <v>31.939699999999998</v>
      </c>
      <c r="C735" s="8">
        <f>31.9449 * CHOOSE(CONTROL!$C$15, $D$11, 100%, $F$11)</f>
        <v>31.944900000000001</v>
      </c>
      <c r="D735" s="8">
        <f>31.9311 * CHOOSE( CONTROL!$C$15, $D$11, 100%, $F$11)</f>
        <v>31.931100000000001</v>
      </c>
      <c r="E735" s="12">
        <f>31.9356 * CHOOSE( CONTROL!$C$15, $D$11, 100%, $F$11)</f>
        <v>31.935600000000001</v>
      </c>
      <c r="F735" s="4">
        <f>32.5902 * CHOOSE(CONTROL!$C$15, $D$11, 100%, $F$11)</f>
        <v>32.590200000000003</v>
      </c>
      <c r="G735" s="8">
        <f>31.1907 * CHOOSE( CONTROL!$C$15, $D$11, 100%, $F$11)</f>
        <v>31.1907</v>
      </c>
      <c r="H735" s="4">
        <f>32.0657 * CHOOSE(CONTROL!$C$15, $D$11, 100%, $F$11)</f>
        <v>32.0657</v>
      </c>
      <c r="I735" s="8">
        <f>30.812 * CHOOSE(CONTROL!$C$15, $D$11, 100%, $F$11)</f>
        <v>30.812000000000001</v>
      </c>
      <c r="J735" s="4">
        <f>30.6381 * CHOOSE(CONTROL!$C$15, $D$11, 100%, $F$11)</f>
        <v>30.638100000000001</v>
      </c>
      <c r="K735" s="4"/>
      <c r="L735" s="9">
        <v>28.360600000000002</v>
      </c>
      <c r="M735" s="9">
        <v>11.6745</v>
      </c>
      <c r="N735" s="9">
        <v>4.7850000000000001</v>
      </c>
      <c r="O735" s="9">
        <v>0.36199999999999999</v>
      </c>
      <c r="P735" s="9">
        <v>1.2509999999999999</v>
      </c>
      <c r="Q735" s="9">
        <v>19.053000000000001</v>
      </c>
      <c r="R735" s="9"/>
      <c r="S735" s="11"/>
    </row>
    <row r="736" spans="1:19" ht="15.75">
      <c r="A736" s="13">
        <v>63919</v>
      </c>
      <c r="B736" s="8">
        <f>31.8817 * CHOOSE(CONTROL!$C$15, $D$11, 100%, $F$11)</f>
        <v>31.881699999999999</v>
      </c>
      <c r="C736" s="8">
        <f>31.8869 * CHOOSE(CONTROL!$C$15, $D$11, 100%, $F$11)</f>
        <v>31.886900000000001</v>
      </c>
      <c r="D736" s="8">
        <f>31.8746 * CHOOSE( CONTROL!$C$15, $D$11, 100%, $F$11)</f>
        <v>31.874600000000001</v>
      </c>
      <c r="E736" s="12">
        <f>31.8785 * CHOOSE( CONTROL!$C$15, $D$11, 100%, $F$11)</f>
        <v>31.878499999999999</v>
      </c>
      <c r="F736" s="4">
        <f>32.5321 * CHOOSE(CONTROL!$C$15, $D$11, 100%, $F$11)</f>
        <v>32.5321</v>
      </c>
      <c r="G736" s="8">
        <f>31.1351 * CHOOSE( CONTROL!$C$15, $D$11, 100%, $F$11)</f>
        <v>31.135100000000001</v>
      </c>
      <c r="H736" s="4">
        <f>32.009 * CHOOSE(CONTROL!$C$15, $D$11, 100%, $F$11)</f>
        <v>32.009</v>
      </c>
      <c r="I736" s="8">
        <f>30.761 * CHOOSE(CONTROL!$C$15, $D$11, 100%, $F$11)</f>
        <v>30.760999999999999</v>
      </c>
      <c r="J736" s="4">
        <f>30.5824 * CHOOSE(CONTROL!$C$15, $D$11, 100%, $F$11)</f>
        <v>30.5824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63950</v>
      </c>
      <c r="B737" s="8">
        <f>33.0991 * CHOOSE(CONTROL!$C$15, $D$11, 100%, $F$11)</f>
        <v>33.0991</v>
      </c>
      <c r="C737" s="8">
        <f>33.1043 * CHOOSE(CONTROL!$C$15, $D$11, 100%, $F$11)</f>
        <v>33.104300000000002</v>
      </c>
      <c r="D737" s="8">
        <f>33.0867 * CHOOSE( CONTROL!$C$15, $D$11, 100%, $F$11)</f>
        <v>33.0867</v>
      </c>
      <c r="E737" s="12">
        <f>33.0926 * CHOOSE( CONTROL!$C$15, $D$11, 100%, $F$11)</f>
        <v>33.092599999999997</v>
      </c>
      <c r="F737" s="4">
        <f>33.7496 * CHOOSE(CONTROL!$C$15, $D$11, 100%, $F$11)</f>
        <v>33.749600000000001</v>
      </c>
      <c r="G737" s="8">
        <f>32.3141 * CHOOSE( CONTROL!$C$15, $D$11, 100%, $F$11)</f>
        <v>32.314100000000003</v>
      </c>
      <c r="H737" s="4">
        <f>33.1981 * CHOOSE(CONTROL!$C$15, $D$11, 100%, $F$11)</f>
        <v>33.198099999999997</v>
      </c>
      <c r="I737" s="8">
        <f>31.8903 * CHOOSE(CONTROL!$C$15, $D$11, 100%, $F$11)</f>
        <v>31.8903</v>
      </c>
      <c r="J737" s="4">
        <f>31.7513 * CHOOSE(CONTROL!$C$15, $D$11, 100%, $F$11)</f>
        <v>31.751300000000001</v>
      </c>
      <c r="K737" s="4"/>
      <c r="L737" s="9">
        <v>29.306000000000001</v>
      </c>
      <c r="M737" s="9">
        <v>12.063700000000001</v>
      </c>
      <c r="N737" s="9">
        <v>4.9444999999999997</v>
      </c>
      <c r="O737" s="9">
        <v>0.37409999999999999</v>
      </c>
      <c r="P737" s="9">
        <v>1.2927</v>
      </c>
      <c r="Q737" s="9">
        <v>19.688099999999999</v>
      </c>
      <c r="R737" s="9"/>
      <c r="S737" s="11"/>
    </row>
    <row r="738" spans="1:19" ht="15.75">
      <c r="A738" s="13">
        <v>63978</v>
      </c>
      <c r="B738" s="8">
        <f>30.9611 * CHOOSE(CONTROL!$C$15, $D$11, 100%, $F$11)</f>
        <v>30.961099999999998</v>
      </c>
      <c r="C738" s="8">
        <f>30.9663 * CHOOSE(CONTROL!$C$15, $D$11, 100%, $F$11)</f>
        <v>30.9663</v>
      </c>
      <c r="D738" s="8">
        <f>30.9487 * CHOOSE( CONTROL!$C$15, $D$11, 100%, $F$11)</f>
        <v>30.948699999999999</v>
      </c>
      <c r="E738" s="12">
        <f>30.9546 * CHOOSE( CONTROL!$C$15, $D$11, 100%, $F$11)</f>
        <v>30.954599999999999</v>
      </c>
      <c r="F738" s="4">
        <f>31.6116 * CHOOSE(CONTROL!$C$15, $D$11, 100%, $F$11)</f>
        <v>31.611599999999999</v>
      </c>
      <c r="G738" s="8">
        <f>30.2259 * CHOOSE( CONTROL!$C$15, $D$11, 100%, $F$11)</f>
        <v>30.225899999999999</v>
      </c>
      <c r="H738" s="4">
        <f>31.1099 * CHOOSE(CONTROL!$C$15, $D$11, 100%, $F$11)</f>
        <v>31.1099</v>
      </c>
      <c r="I738" s="8">
        <f>29.8365 * CHOOSE(CONTROL!$C$15, $D$11, 100%, $F$11)</f>
        <v>29.836500000000001</v>
      </c>
      <c r="J738" s="4">
        <f>29.6986 * CHOOSE(CONTROL!$C$15, $D$11, 100%, $F$11)</f>
        <v>29.698599999999999</v>
      </c>
      <c r="K738" s="4"/>
      <c r="L738" s="9">
        <v>26.469899999999999</v>
      </c>
      <c r="M738" s="9">
        <v>10.8962</v>
      </c>
      <c r="N738" s="9">
        <v>4.4660000000000002</v>
      </c>
      <c r="O738" s="9">
        <v>0.33789999999999998</v>
      </c>
      <c r="P738" s="9">
        <v>1.1676</v>
      </c>
      <c r="Q738" s="9">
        <v>17.782800000000002</v>
      </c>
      <c r="R738" s="9"/>
      <c r="S738" s="11"/>
    </row>
    <row r="739" spans="1:19" ht="15.75">
      <c r="A739" s="13">
        <v>64009</v>
      </c>
      <c r="B739" s="8">
        <f>30.3026 * CHOOSE(CONTROL!$C$15, $D$11, 100%, $F$11)</f>
        <v>30.302600000000002</v>
      </c>
      <c r="C739" s="8">
        <f>30.3078 * CHOOSE(CONTROL!$C$15, $D$11, 100%, $F$11)</f>
        <v>30.3078</v>
      </c>
      <c r="D739" s="8">
        <f>30.2898 * CHOOSE( CONTROL!$C$15, $D$11, 100%, $F$11)</f>
        <v>30.2898</v>
      </c>
      <c r="E739" s="12">
        <f>30.2958 * CHOOSE( CONTROL!$C$15, $D$11, 100%, $F$11)</f>
        <v>30.2958</v>
      </c>
      <c r="F739" s="4">
        <f>30.9531 * CHOOSE(CONTROL!$C$15, $D$11, 100%, $F$11)</f>
        <v>30.953099999999999</v>
      </c>
      <c r="G739" s="8">
        <f>29.5825 * CHOOSE( CONTROL!$C$15, $D$11, 100%, $F$11)</f>
        <v>29.5825</v>
      </c>
      <c r="H739" s="4">
        <f>30.4668 * CHOOSE(CONTROL!$C$15, $D$11, 100%, $F$11)</f>
        <v>30.466799999999999</v>
      </c>
      <c r="I739" s="8">
        <f>29.2027 * CHOOSE(CONTROL!$C$15, $D$11, 100%, $F$11)</f>
        <v>29.2027</v>
      </c>
      <c r="J739" s="4">
        <f>29.0664 * CHOOSE(CONTROL!$C$15, $D$11, 100%, $F$11)</f>
        <v>29.066400000000002</v>
      </c>
      <c r="K739" s="4"/>
      <c r="L739" s="9">
        <v>29.306000000000001</v>
      </c>
      <c r="M739" s="9">
        <v>12.063700000000001</v>
      </c>
      <c r="N739" s="9">
        <v>4.9444999999999997</v>
      </c>
      <c r="O739" s="9">
        <v>0.37409999999999999</v>
      </c>
      <c r="P739" s="9">
        <v>1.2927</v>
      </c>
      <c r="Q739" s="9">
        <v>19.688099999999999</v>
      </c>
      <c r="R739" s="9"/>
      <c r="S739" s="11"/>
    </row>
    <row r="740" spans="1:19" ht="15.75">
      <c r="A740" s="13">
        <v>64039</v>
      </c>
      <c r="B740" s="8">
        <f>30.7635 * CHOOSE(CONTROL!$C$15, $D$11, 100%, $F$11)</f>
        <v>30.763500000000001</v>
      </c>
      <c r="C740" s="8">
        <f>30.7682 * CHOOSE(CONTROL!$C$15, $D$11, 100%, $F$11)</f>
        <v>30.7682</v>
      </c>
      <c r="D740" s="8">
        <f>30.7993 * CHOOSE( CONTROL!$C$15, $D$11, 100%, $F$11)</f>
        <v>30.799299999999999</v>
      </c>
      <c r="E740" s="12">
        <f>30.7885 * CHOOSE( CONTROL!$C$15, $D$11, 100%, $F$11)</f>
        <v>30.788499999999999</v>
      </c>
      <c r="F740" s="4">
        <f>31.4773 * CHOOSE(CONTROL!$C$15, $D$11, 100%, $F$11)</f>
        <v>31.4773</v>
      </c>
      <c r="G740" s="8">
        <f>30.0328 * CHOOSE( CONTROL!$C$15, $D$11, 100%, $F$11)</f>
        <v>30.032800000000002</v>
      </c>
      <c r="H740" s="4">
        <f>30.9788 * CHOOSE(CONTROL!$C$15, $D$11, 100%, $F$11)</f>
        <v>30.9788</v>
      </c>
      <c r="I740" s="8">
        <f>29.6352 * CHOOSE(CONTROL!$C$15, $D$11, 100%, $F$11)</f>
        <v>29.635200000000001</v>
      </c>
      <c r="J740" s="4">
        <f>29.5082 * CHOOSE(CONTROL!$C$15, $D$11, 100%, $F$11)</f>
        <v>29.508199999999999</v>
      </c>
      <c r="K740" s="4"/>
      <c r="L740" s="9">
        <v>30.092199999999998</v>
      </c>
      <c r="M740" s="9">
        <v>11.6745</v>
      </c>
      <c r="N740" s="9">
        <v>4.7850000000000001</v>
      </c>
      <c r="O740" s="9">
        <v>0.36199999999999999</v>
      </c>
      <c r="P740" s="9">
        <v>1.1791</v>
      </c>
      <c r="Q740" s="9">
        <v>19.053000000000001</v>
      </c>
      <c r="R740" s="9"/>
      <c r="S740" s="11"/>
    </row>
    <row r="741" spans="1:19" ht="15.75">
      <c r="A741" s="13">
        <v>64070</v>
      </c>
      <c r="B741" s="8">
        <f>CHOOSE( CONTROL!$C$32, 31.5894, 31.5838) * CHOOSE(CONTROL!$C$15, $D$11, 100%, $F$11)</f>
        <v>31.589400000000001</v>
      </c>
      <c r="C741" s="8">
        <f>CHOOSE( CONTROL!$C$32, 31.5975, 31.5919) * CHOOSE(CONTROL!$C$15, $D$11, 100%, $F$11)</f>
        <v>31.5975</v>
      </c>
      <c r="D741" s="8">
        <f>CHOOSE( CONTROL!$C$32, 31.6235, 31.6179) * CHOOSE( CONTROL!$C$15, $D$11, 100%, $F$11)</f>
        <v>31.6235</v>
      </c>
      <c r="E741" s="12">
        <f>CHOOSE( CONTROL!$C$32, 31.6128, 31.6072) * CHOOSE( CONTROL!$C$15, $D$11, 100%, $F$11)</f>
        <v>31.6128</v>
      </c>
      <c r="F741" s="4">
        <f>CHOOSE( CONTROL!$C$32, 32.3018, 32.2962) * CHOOSE(CONTROL!$C$15, $D$11, 100%, $F$11)</f>
        <v>32.3018</v>
      </c>
      <c r="G741" s="8">
        <f>CHOOSE( CONTROL!$C$32, 30.8392, 30.8338) * CHOOSE( CONTROL!$C$15, $D$11, 100%, $F$11)</f>
        <v>30.839200000000002</v>
      </c>
      <c r="H741" s="4">
        <f>CHOOSE( CONTROL!$C$32, 31.7841, 31.7786) * CHOOSE(CONTROL!$C$15, $D$11, 100%, $F$11)</f>
        <v>31.784099999999999</v>
      </c>
      <c r="I741" s="8">
        <f>CHOOSE( CONTROL!$C$32, 30.4272, 30.4218) * CHOOSE(CONTROL!$C$15, $D$11, 100%, $F$11)</f>
        <v>30.427199999999999</v>
      </c>
      <c r="J741" s="4">
        <f>CHOOSE( CONTROL!$C$32, 30.2998, 30.2944) * CHOOSE(CONTROL!$C$15, $D$11, 100%, $F$11)</f>
        <v>30.299800000000001</v>
      </c>
      <c r="K741" s="4"/>
      <c r="L741" s="9">
        <v>30.7165</v>
      </c>
      <c r="M741" s="9">
        <v>12.063700000000001</v>
      </c>
      <c r="N741" s="9">
        <v>4.9444999999999997</v>
      </c>
      <c r="O741" s="9">
        <v>0.37409999999999999</v>
      </c>
      <c r="P741" s="9">
        <v>1.2183999999999999</v>
      </c>
      <c r="Q741" s="9">
        <v>19.688099999999999</v>
      </c>
      <c r="R741" s="9"/>
      <c r="S741" s="11"/>
    </row>
    <row r="742" spans="1:19" ht="15.75">
      <c r="A742" s="13">
        <v>64100</v>
      </c>
      <c r="B742" s="8">
        <f>CHOOSE( CONTROL!$C$32, 31.0821, 31.0765) * CHOOSE(CONTROL!$C$15, $D$11, 100%, $F$11)</f>
        <v>31.082100000000001</v>
      </c>
      <c r="C742" s="8">
        <f>CHOOSE( CONTROL!$C$32, 31.0902, 31.0846) * CHOOSE(CONTROL!$C$15, $D$11, 100%, $F$11)</f>
        <v>31.090199999999999</v>
      </c>
      <c r="D742" s="8">
        <f>CHOOSE( CONTROL!$C$32, 31.1163, 31.1108) * CHOOSE( CONTROL!$C$15, $D$11, 100%, $F$11)</f>
        <v>31.116299999999999</v>
      </c>
      <c r="E742" s="12">
        <f>CHOOSE( CONTROL!$C$32, 31.1056, 31.1001) * CHOOSE( CONTROL!$C$15, $D$11, 100%, $F$11)</f>
        <v>31.105599999999999</v>
      </c>
      <c r="F742" s="4">
        <f>CHOOSE( CONTROL!$C$32, 31.7945, 31.7889) * CHOOSE(CONTROL!$C$15, $D$11, 100%, $F$11)</f>
        <v>31.794499999999999</v>
      </c>
      <c r="G742" s="8">
        <f>CHOOSE( CONTROL!$C$32, 30.344, 30.3385) * CHOOSE( CONTROL!$C$15, $D$11, 100%, $F$11)</f>
        <v>30.344000000000001</v>
      </c>
      <c r="H742" s="4">
        <f>CHOOSE( CONTROL!$C$32, 31.2886, 31.2831) * CHOOSE(CONTROL!$C$15, $D$11, 100%, $F$11)</f>
        <v>31.288599999999999</v>
      </c>
      <c r="I742" s="8">
        <f>CHOOSE( CONTROL!$C$32, 29.9407, 29.9353) * CHOOSE(CONTROL!$C$15, $D$11, 100%, $F$11)</f>
        <v>29.9407</v>
      </c>
      <c r="J742" s="4">
        <f>CHOOSE( CONTROL!$C$32, 29.8127, 29.8074) * CHOOSE(CONTROL!$C$15, $D$11, 100%, $F$11)</f>
        <v>29.8127</v>
      </c>
      <c r="K742" s="4"/>
      <c r="L742" s="9">
        <v>29.7257</v>
      </c>
      <c r="M742" s="9">
        <v>11.6745</v>
      </c>
      <c r="N742" s="9">
        <v>4.7850000000000001</v>
      </c>
      <c r="O742" s="9">
        <v>0.36199999999999999</v>
      </c>
      <c r="P742" s="9">
        <v>1.1791</v>
      </c>
      <c r="Q742" s="9">
        <v>19.053000000000001</v>
      </c>
      <c r="R742" s="9"/>
      <c r="S742" s="11"/>
    </row>
    <row r="743" spans="1:19" ht="15.75">
      <c r="A743" s="13">
        <v>64131</v>
      </c>
      <c r="B743" s="8">
        <f>CHOOSE( CONTROL!$C$32, 32.418, 32.4125) * CHOOSE(CONTROL!$C$15, $D$11, 100%, $F$11)</f>
        <v>32.417999999999999</v>
      </c>
      <c r="C743" s="8">
        <f>CHOOSE( CONTROL!$C$32, 32.4261, 32.4205) * CHOOSE(CONTROL!$C$15, $D$11, 100%, $F$11)</f>
        <v>32.426099999999998</v>
      </c>
      <c r="D743" s="8">
        <f>CHOOSE( CONTROL!$C$32, 32.4525, 32.4469) * CHOOSE( CONTROL!$C$15, $D$11, 100%, $F$11)</f>
        <v>32.452500000000001</v>
      </c>
      <c r="E743" s="12">
        <f>CHOOSE( CONTROL!$C$32, 32.4417, 32.4361) * CHOOSE( CONTROL!$C$15, $D$11, 100%, $F$11)</f>
        <v>32.441699999999997</v>
      </c>
      <c r="F743" s="4">
        <f>CHOOSE( CONTROL!$C$32, 33.1304, 33.1249) * CHOOSE(CONTROL!$C$15, $D$11, 100%, $F$11)</f>
        <v>33.130400000000002</v>
      </c>
      <c r="G743" s="8">
        <f>CHOOSE( CONTROL!$C$32, 31.6491, 31.6436) * CHOOSE( CONTROL!$C$15, $D$11, 100%, $F$11)</f>
        <v>31.649100000000001</v>
      </c>
      <c r="H743" s="4">
        <f>CHOOSE( CONTROL!$C$32, 32.5934, 32.5879) * CHOOSE(CONTROL!$C$15, $D$11, 100%, $F$11)</f>
        <v>32.593400000000003</v>
      </c>
      <c r="I743" s="8">
        <f>CHOOSE( CONTROL!$C$32, 31.2249, 31.2196) * CHOOSE(CONTROL!$C$15, $D$11, 100%, $F$11)</f>
        <v>31.224900000000002</v>
      </c>
      <c r="J743" s="4">
        <f>CHOOSE( CONTROL!$C$32, 31.0953, 31.09) * CHOOSE(CONTROL!$C$15, $D$11, 100%, $F$11)</f>
        <v>31.095300000000002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1.2183999999999999</v>
      </c>
      <c r="Q743" s="9">
        <v>19.688099999999999</v>
      </c>
      <c r="R743" s="9"/>
      <c r="S743" s="11"/>
    </row>
    <row r="744" spans="1:19" ht="15.75">
      <c r="A744" s="13">
        <v>64162</v>
      </c>
      <c r="B744" s="8">
        <f>CHOOSE( CONTROL!$C$32, 29.9184, 29.9128) * CHOOSE(CONTROL!$C$15, $D$11, 100%, $F$11)</f>
        <v>29.918399999999998</v>
      </c>
      <c r="C744" s="8">
        <f>CHOOSE( CONTROL!$C$32, 29.9265, 29.9209) * CHOOSE(CONTROL!$C$15, $D$11, 100%, $F$11)</f>
        <v>29.926500000000001</v>
      </c>
      <c r="D744" s="8">
        <f>CHOOSE( CONTROL!$C$32, 29.9529, 29.9473) * CHOOSE( CONTROL!$C$15, $D$11, 100%, $F$11)</f>
        <v>29.9529</v>
      </c>
      <c r="E744" s="12">
        <f>CHOOSE( CONTROL!$C$32, 29.9421, 29.9365) * CHOOSE( CONTROL!$C$15, $D$11, 100%, $F$11)</f>
        <v>29.9421</v>
      </c>
      <c r="F744" s="4">
        <f>CHOOSE( CONTROL!$C$32, 30.6308, 30.6252) * CHOOSE(CONTROL!$C$15, $D$11, 100%, $F$11)</f>
        <v>30.630800000000001</v>
      </c>
      <c r="G744" s="8">
        <f>CHOOSE( CONTROL!$C$32, 29.2077, 29.2023) * CHOOSE( CONTROL!$C$15, $D$11, 100%, $F$11)</f>
        <v>29.207699999999999</v>
      </c>
      <c r="H744" s="4">
        <f>CHOOSE( CONTROL!$C$32, 30.152, 30.1465) * CHOOSE(CONTROL!$C$15, $D$11, 100%, $F$11)</f>
        <v>30.152000000000001</v>
      </c>
      <c r="I744" s="8">
        <f>CHOOSE( CONTROL!$C$32, 28.8241, 28.8187) * CHOOSE(CONTROL!$C$15, $D$11, 100%, $F$11)</f>
        <v>28.824100000000001</v>
      </c>
      <c r="J744" s="4">
        <f>CHOOSE( CONTROL!$C$32, 28.6954, 28.6901) * CHOOSE(CONTROL!$C$15, $D$11, 100%, $F$11)</f>
        <v>28.695399999999999</v>
      </c>
      <c r="K744" s="4"/>
      <c r="L744" s="9">
        <v>30.7165</v>
      </c>
      <c r="M744" s="9">
        <v>12.063700000000001</v>
      </c>
      <c r="N744" s="9">
        <v>4.9444999999999997</v>
      </c>
      <c r="O744" s="9">
        <v>0.37409999999999999</v>
      </c>
      <c r="P744" s="9">
        <v>1.2183999999999999</v>
      </c>
      <c r="Q744" s="9">
        <v>19.688099999999999</v>
      </c>
      <c r="R744" s="9"/>
      <c r="S744" s="11"/>
    </row>
    <row r="745" spans="1:19" ht="15.75">
      <c r="A745" s="13">
        <v>64192</v>
      </c>
      <c r="B745" s="8">
        <f>CHOOSE( CONTROL!$C$32, 29.2924, 29.2869) * CHOOSE(CONTROL!$C$15, $D$11, 100%, $F$11)</f>
        <v>29.292400000000001</v>
      </c>
      <c r="C745" s="8">
        <f>CHOOSE( CONTROL!$C$32, 29.3005, 29.295) * CHOOSE(CONTROL!$C$15, $D$11, 100%, $F$11)</f>
        <v>29.3005</v>
      </c>
      <c r="D745" s="8">
        <f>CHOOSE( CONTROL!$C$32, 29.3269, 29.3213) * CHOOSE( CONTROL!$C$15, $D$11, 100%, $F$11)</f>
        <v>29.326899999999998</v>
      </c>
      <c r="E745" s="12">
        <f>CHOOSE( CONTROL!$C$32, 29.3161, 29.3105) * CHOOSE( CONTROL!$C$15, $D$11, 100%, $F$11)</f>
        <v>29.316099999999999</v>
      </c>
      <c r="F745" s="4">
        <f>CHOOSE( CONTROL!$C$32, 30.0048, 29.9993) * CHOOSE(CONTROL!$C$15, $D$11, 100%, $F$11)</f>
        <v>30.004799999999999</v>
      </c>
      <c r="G745" s="8">
        <f>CHOOSE( CONTROL!$C$32, 28.5963, 28.5909) * CHOOSE( CONTROL!$C$15, $D$11, 100%, $F$11)</f>
        <v>28.596299999999999</v>
      </c>
      <c r="H745" s="4">
        <f>CHOOSE( CONTROL!$C$32, 29.5406, 29.5352) * CHOOSE(CONTROL!$C$15, $D$11, 100%, $F$11)</f>
        <v>29.540600000000001</v>
      </c>
      <c r="I745" s="8">
        <f>CHOOSE( CONTROL!$C$32, 28.2226, 28.2172) * CHOOSE(CONTROL!$C$15, $D$11, 100%, $F$11)</f>
        <v>28.2226</v>
      </c>
      <c r="J745" s="4">
        <f>CHOOSE( CONTROL!$C$32, 28.0944, 28.0891) * CHOOSE(CONTROL!$C$15, $D$11, 100%, $F$11)</f>
        <v>28.0944</v>
      </c>
      <c r="K745" s="4"/>
      <c r="L745" s="9">
        <v>29.7257</v>
      </c>
      <c r="M745" s="9">
        <v>11.6745</v>
      </c>
      <c r="N745" s="9">
        <v>4.7850000000000001</v>
      </c>
      <c r="O745" s="9">
        <v>0.36199999999999999</v>
      </c>
      <c r="P745" s="9">
        <v>1.1791</v>
      </c>
      <c r="Q745" s="9">
        <v>19.053000000000001</v>
      </c>
      <c r="R745" s="9"/>
      <c r="S745" s="11"/>
    </row>
    <row r="746" spans="1:19" ht="15.75">
      <c r="A746" s="13">
        <v>64223</v>
      </c>
      <c r="B746" s="8">
        <f>30.5848 * CHOOSE(CONTROL!$C$15, $D$11, 100%, $F$11)</f>
        <v>30.584800000000001</v>
      </c>
      <c r="C746" s="8">
        <f>30.5903 * CHOOSE(CONTROL!$C$15, $D$11, 100%, $F$11)</f>
        <v>30.590299999999999</v>
      </c>
      <c r="D746" s="8">
        <f>30.6214 * CHOOSE( CONTROL!$C$15, $D$11, 100%, $F$11)</f>
        <v>30.621400000000001</v>
      </c>
      <c r="E746" s="12">
        <f>30.6105 * CHOOSE( CONTROL!$C$15, $D$11, 100%, $F$11)</f>
        <v>30.610499999999998</v>
      </c>
      <c r="F746" s="4">
        <f>31.2989 * CHOOSE(CONTROL!$C$15, $D$11, 100%, $F$11)</f>
        <v>31.2989</v>
      </c>
      <c r="G746" s="8">
        <f>29.8594 * CHOOSE( CONTROL!$C$15, $D$11, 100%, $F$11)</f>
        <v>29.859400000000001</v>
      </c>
      <c r="H746" s="4">
        <f>30.8045 * CHOOSE(CONTROL!$C$15, $D$11, 100%, $F$11)</f>
        <v>30.804500000000001</v>
      </c>
      <c r="I746" s="8">
        <f>29.4665 * CHOOSE(CONTROL!$C$15, $D$11, 100%, $F$11)</f>
        <v>29.4665</v>
      </c>
      <c r="J746" s="4">
        <f>29.3369 * CHOOSE(CONTROL!$C$15, $D$11, 100%, $F$11)</f>
        <v>29.3369</v>
      </c>
      <c r="K746" s="4"/>
      <c r="L746" s="9">
        <v>31.095300000000002</v>
      </c>
      <c r="M746" s="9">
        <v>12.063700000000001</v>
      </c>
      <c r="N746" s="9">
        <v>4.9444999999999997</v>
      </c>
      <c r="O746" s="9">
        <v>0.37409999999999999</v>
      </c>
      <c r="P746" s="9">
        <v>1.2183999999999999</v>
      </c>
      <c r="Q746" s="9">
        <v>19.688099999999999</v>
      </c>
      <c r="R746" s="9"/>
      <c r="S746" s="11"/>
    </row>
    <row r="747" spans="1:19" ht="15.75">
      <c r="A747" s="13">
        <v>64253</v>
      </c>
      <c r="B747" s="8">
        <f>32.9833 * CHOOSE(CONTROL!$C$15, $D$11, 100%, $F$11)</f>
        <v>32.9833</v>
      </c>
      <c r="C747" s="8">
        <f>32.9885 * CHOOSE(CONTROL!$C$15, $D$11, 100%, $F$11)</f>
        <v>32.988500000000002</v>
      </c>
      <c r="D747" s="8">
        <f>32.9748 * CHOOSE( CONTROL!$C$15, $D$11, 100%, $F$11)</f>
        <v>32.974800000000002</v>
      </c>
      <c r="E747" s="12">
        <f>32.9793 * CHOOSE( CONTROL!$C$15, $D$11, 100%, $F$11)</f>
        <v>32.979300000000002</v>
      </c>
      <c r="F747" s="4">
        <f>33.6338 * CHOOSE(CONTROL!$C$15, $D$11, 100%, $F$11)</f>
        <v>33.633800000000001</v>
      </c>
      <c r="G747" s="8">
        <f>32.21 * CHOOSE( CONTROL!$C$15, $D$11, 100%, $F$11)</f>
        <v>32.21</v>
      </c>
      <c r="H747" s="4">
        <f>33.085 * CHOOSE(CONTROL!$C$15, $D$11, 100%, $F$11)</f>
        <v>33.085000000000001</v>
      </c>
      <c r="I747" s="8">
        <f>31.8145 * CHOOSE(CONTROL!$C$15, $D$11, 100%, $F$11)</f>
        <v>31.814499999999999</v>
      </c>
      <c r="J747" s="4">
        <f>31.6401 * CHOOSE(CONTROL!$C$15, $D$11, 100%, $F$11)</f>
        <v>31.6401</v>
      </c>
      <c r="K747" s="4"/>
      <c r="L747" s="9">
        <v>28.360600000000002</v>
      </c>
      <c r="M747" s="9">
        <v>11.6745</v>
      </c>
      <c r="N747" s="9">
        <v>4.7850000000000001</v>
      </c>
      <c r="O747" s="9">
        <v>0.36199999999999999</v>
      </c>
      <c r="P747" s="9">
        <v>1.2509999999999999</v>
      </c>
      <c r="Q747" s="9">
        <v>19.053000000000001</v>
      </c>
      <c r="R747" s="9"/>
      <c r="S747" s="11"/>
    </row>
    <row r="748" spans="1:19" ht="15.75">
      <c r="A748" s="13">
        <v>64284</v>
      </c>
      <c r="B748" s="8">
        <f>32.9234 * CHOOSE(CONTROL!$C$15, $D$11, 100%, $F$11)</f>
        <v>32.923400000000001</v>
      </c>
      <c r="C748" s="8">
        <f>32.9286 * CHOOSE(CONTROL!$C$15, $D$11, 100%, $F$11)</f>
        <v>32.928600000000003</v>
      </c>
      <c r="D748" s="8">
        <f>32.9163 * CHOOSE( CONTROL!$C$15, $D$11, 100%, $F$11)</f>
        <v>32.9163</v>
      </c>
      <c r="E748" s="12">
        <f>32.9202 * CHOOSE( CONTROL!$C$15, $D$11, 100%, $F$11)</f>
        <v>32.920200000000001</v>
      </c>
      <c r="F748" s="4">
        <f>33.5739 * CHOOSE(CONTROL!$C$15, $D$11, 100%, $F$11)</f>
        <v>33.573900000000002</v>
      </c>
      <c r="G748" s="8">
        <f>32.1526 * CHOOSE( CONTROL!$C$15, $D$11, 100%, $F$11)</f>
        <v>32.1526</v>
      </c>
      <c r="H748" s="4">
        <f>33.0265 * CHOOSE(CONTROL!$C$15, $D$11, 100%, $F$11)</f>
        <v>33.026499999999999</v>
      </c>
      <c r="I748" s="8">
        <f>31.7617 * CHOOSE(CONTROL!$C$15, $D$11, 100%, $F$11)</f>
        <v>31.761700000000001</v>
      </c>
      <c r="J748" s="4">
        <f>31.5826 * CHOOSE(CONTROL!$C$15, $D$11, 100%, $F$11)</f>
        <v>31.582599999999999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64315</v>
      </c>
      <c r="B749" s="8">
        <f>34.1806 * CHOOSE(CONTROL!$C$15, $D$11, 100%, $F$11)</f>
        <v>34.180599999999998</v>
      </c>
      <c r="C749" s="8">
        <f>34.1858 * CHOOSE(CONTROL!$C$15, $D$11, 100%, $F$11)</f>
        <v>34.1858</v>
      </c>
      <c r="D749" s="8">
        <f>34.1683 * CHOOSE( CONTROL!$C$15, $D$11, 100%, $F$11)</f>
        <v>34.168300000000002</v>
      </c>
      <c r="E749" s="12">
        <f>34.1741 * CHOOSE( CONTROL!$C$15, $D$11, 100%, $F$11)</f>
        <v>34.174100000000003</v>
      </c>
      <c r="F749" s="4">
        <f>34.8311 * CHOOSE(CONTROL!$C$15, $D$11, 100%, $F$11)</f>
        <v>34.831099999999999</v>
      </c>
      <c r="G749" s="8">
        <f>33.3705 * CHOOSE( CONTROL!$C$15, $D$11, 100%, $F$11)</f>
        <v>33.3705</v>
      </c>
      <c r="H749" s="4">
        <f>34.2544 * CHOOSE(CONTROL!$C$15, $D$11, 100%, $F$11)</f>
        <v>34.254399999999997</v>
      </c>
      <c r="I749" s="8">
        <f>32.9292 * CHOOSE(CONTROL!$C$15, $D$11, 100%, $F$11)</f>
        <v>32.929200000000002</v>
      </c>
      <c r="J749" s="4">
        <f>32.7897 * CHOOSE(CONTROL!$C$15, $D$11, 100%, $F$11)</f>
        <v>32.789700000000003</v>
      </c>
      <c r="K749" s="4"/>
      <c r="L749" s="9">
        <v>29.306000000000001</v>
      </c>
      <c r="M749" s="9">
        <v>12.063700000000001</v>
      </c>
      <c r="N749" s="9">
        <v>4.9444999999999997</v>
      </c>
      <c r="O749" s="9">
        <v>0.37409999999999999</v>
      </c>
      <c r="P749" s="9">
        <v>1.2927</v>
      </c>
      <c r="Q749" s="9">
        <v>19.688099999999999</v>
      </c>
      <c r="R749" s="9"/>
      <c r="S749" s="11"/>
    </row>
    <row r="750" spans="1:19" ht="15.75">
      <c r="A750" s="13">
        <v>64344</v>
      </c>
      <c r="B750" s="8">
        <f>31.9727 * CHOOSE(CONTROL!$C$15, $D$11, 100%, $F$11)</f>
        <v>31.9727</v>
      </c>
      <c r="C750" s="8">
        <f>31.9779 * CHOOSE(CONTROL!$C$15, $D$11, 100%, $F$11)</f>
        <v>31.977900000000002</v>
      </c>
      <c r="D750" s="8">
        <f>31.9603 * CHOOSE( CONTROL!$C$15, $D$11, 100%, $F$11)</f>
        <v>31.9603</v>
      </c>
      <c r="E750" s="12">
        <f>31.9662 * CHOOSE( CONTROL!$C$15, $D$11, 100%, $F$11)</f>
        <v>31.966200000000001</v>
      </c>
      <c r="F750" s="4">
        <f>32.6232 * CHOOSE(CONTROL!$C$15, $D$11, 100%, $F$11)</f>
        <v>32.623199999999997</v>
      </c>
      <c r="G750" s="8">
        <f>31.214 * CHOOSE( CONTROL!$C$15, $D$11, 100%, $F$11)</f>
        <v>31.213999999999999</v>
      </c>
      <c r="H750" s="4">
        <f>32.098 * CHOOSE(CONTROL!$C$15, $D$11, 100%, $F$11)</f>
        <v>32.097999999999999</v>
      </c>
      <c r="I750" s="8">
        <f>30.8082 * CHOOSE(CONTROL!$C$15, $D$11, 100%, $F$11)</f>
        <v>30.808199999999999</v>
      </c>
      <c r="J750" s="4">
        <f>30.6699 * CHOOSE(CONTROL!$C$15, $D$11, 100%, $F$11)</f>
        <v>30.669899999999998</v>
      </c>
      <c r="K750" s="4"/>
      <c r="L750" s="9">
        <v>27.415299999999998</v>
      </c>
      <c r="M750" s="9">
        <v>11.285299999999999</v>
      </c>
      <c r="N750" s="9">
        <v>4.6254999999999997</v>
      </c>
      <c r="O750" s="9">
        <v>0.34989999999999999</v>
      </c>
      <c r="P750" s="9">
        <v>1.2093</v>
      </c>
      <c r="Q750" s="9">
        <v>18.417899999999999</v>
      </c>
      <c r="R750" s="9"/>
      <c r="S750" s="11"/>
    </row>
    <row r="751" spans="1:19" ht="15.75">
      <c r="A751" s="13">
        <v>64375</v>
      </c>
      <c r="B751" s="8">
        <f>31.2927 * CHOOSE(CONTROL!$C$15, $D$11, 100%, $F$11)</f>
        <v>31.2927</v>
      </c>
      <c r="C751" s="8">
        <f>31.2979 * CHOOSE(CONTROL!$C$15, $D$11, 100%, $F$11)</f>
        <v>31.297899999999998</v>
      </c>
      <c r="D751" s="8">
        <f>31.2799 * CHOOSE( CONTROL!$C$15, $D$11, 100%, $F$11)</f>
        <v>31.279900000000001</v>
      </c>
      <c r="E751" s="12">
        <f>31.2859 * CHOOSE( CONTROL!$C$15, $D$11, 100%, $F$11)</f>
        <v>31.285900000000002</v>
      </c>
      <c r="F751" s="4">
        <f>31.9432 * CHOOSE(CONTROL!$C$15, $D$11, 100%, $F$11)</f>
        <v>31.943200000000001</v>
      </c>
      <c r="G751" s="8">
        <f>30.5495 * CHOOSE( CONTROL!$C$15, $D$11, 100%, $F$11)</f>
        <v>30.549499999999998</v>
      </c>
      <c r="H751" s="4">
        <f>31.4338 * CHOOSE(CONTROL!$C$15, $D$11, 100%, $F$11)</f>
        <v>31.433800000000002</v>
      </c>
      <c r="I751" s="8">
        <f>30.1538 * CHOOSE(CONTROL!$C$15, $D$11, 100%, $F$11)</f>
        <v>30.1538</v>
      </c>
      <c r="J751" s="4">
        <f>30.017 * CHOOSE(CONTROL!$C$15, $D$11, 100%, $F$11)</f>
        <v>30.016999999999999</v>
      </c>
      <c r="K751" s="4"/>
      <c r="L751" s="9">
        <v>29.306000000000001</v>
      </c>
      <c r="M751" s="9">
        <v>12.063700000000001</v>
      </c>
      <c r="N751" s="9">
        <v>4.9444999999999997</v>
      </c>
      <c r="O751" s="9">
        <v>0.37409999999999999</v>
      </c>
      <c r="P751" s="9">
        <v>1.2927</v>
      </c>
      <c r="Q751" s="9">
        <v>19.688099999999999</v>
      </c>
      <c r="R751" s="9"/>
      <c r="S751" s="11"/>
    </row>
    <row r="752" spans="1:19" ht="15.75">
      <c r="A752" s="13">
        <v>64405</v>
      </c>
      <c r="B752" s="8">
        <f>31.7687 * CHOOSE(CONTROL!$C$15, $D$11, 100%, $F$11)</f>
        <v>31.768699999999999</v>
      </c>
      <c r="C752" s="8">
        <f>31.7733 * CHOOSE(CONTROL!$C$15, $D$11, 100%, $F$11)</f>
        <v>31.773299999999999</v>
      </c>
      <c r="D752" s="8">
        <f>31.8044 * CHOOSE( CONTROL!$C$15, $D$11, 100%, $F$11)</f>
        <v>31.804400000000001</v>
      </c>
      <c r="E752" s="12">
        <f>31.7936 * CHOOSE( CONTROL!$C$15, $D$11, 100%, $F$11)</f>
        <v>31.793600000000001</v>
      </c>
      <c r="F752" s="4">
        <f>32.4824 * CHOOSE(CONTROL!$C$15, $D$11, 100%, $F$11)</f>
        <v>32.482399999999998</v>
      </c>
      <c r="G752" s="8">
        <f>31.0145 * CHOOSE( CONTROL!$C$15, $D$11, 100%, $F$11)</f>
        <v>31.014500000000002</v>
      </c>
      <c r="H752" s="4">
        <f>31.9605 * CHOOSE(CONTROL!$C$15, $D$11, 100%, $F$11)</f>
        <v>31.9605</v>
      </c>
      <c r="I752" s="8">
        <f>30.6008 * CHOOSE(CONTROL!$C$15, $D$11, 100%, $F$11)</f>
        <v>30.6008</v>
      </c>
      <c r="J752" s="4">
        <f>30.4732 * CHOOSE(CONTROL!$C$15, $D$11, 100%, $F$11)</f>
        <v>30.473199999999999</v>
      </c>
      <c r="K752" s="4"/>
      <c r="L752" s="9">
        <v>30.092199999999998</v>
      </c>
      <c r="M752" s="9">
        <v>11.6745</v>
      </c>
      <c r="N752" s="9">
        <v>4.7850000000000001</v>
      </c>
      <c r="O752" s="9">
        <v>0.36199999999999999</v>
      </c>
      <c r="P752" s="9">
        <v>1.1791</v>
      </c>
      <c r="Q752" s="9">
        <v>19.053000000000001</v>
      </c>
      <c r="R752" s="9"/>
      <c r="S752" s="11"/>
    </row>
    <row r="753" spans="1:19" ht="15.75">
      <c r="A753" s="13">
        <v>64436</v>
      </c>
      <c r="B753" s="8">
        <f>CHOOSE( CONTROL!$C$32, 32.6213, 32.6158) * CHOOSE(CONTROL!$C$15, $D$11, 100%, $F$11)</f>
        <v>32.621299999999998</v>
      </c>
      <c r="C753" s="8">
        <f>CHOOSE( CONTROL!$C$32, 32.6294, 32.6238) * CHOOSE(CONTROL!$C$15, $D$11, 100%, $F$11)</f>
        <v>32.629399999999997</v>
      </c>
      <c r="D753" s="8">
        <f>CHOOSE( CONTROL!$C$32, 32.6554, 32.6498) * CHOOSE( CONTROL!$C$15, $D$11, 100%, $F$11)</f>
        <v>32.6554</v>
      </c>
      <c r="E753" s="12">
        <f>CHOOSE( CONTROL!$C$32, 32.6447, 32.6392) * CHOOSE( CONTROL!$C$15, $D$11, 100%, $F$11)</f>
        <v>32.6447</v>
      </c>
      <c r="F753" s="4">
        <f>CHOOSE( CONTROL!$C$32, 33.3337, 33.3282) * CHOOSE(CONTROL!$C$15, $D$11, 100%, $F$11)</f>
        <v>33.3337</v>
      </c>
      <c r="G753" s="8">
        <f>CHOOSE( CONTROL!$C$32, 31.8471, 31.8416) * CHOOSE( CONTROL!$C$15, $D$11, 100%, $F$11)</f>
        <v>31.847100000000001</v>
      </c>
      <c r="H753" s="4">
        <f>CHOOSE( CONTROL!$C$32, 32.7919, 32.7865) * CHOOSE(CONTROL!$C$15, $D$11, 100%, $F$11)</f>
        <v>32.791899999999998</v>
      </c>
      <c r="I753" s="8">
        <f>CHOOSE( CONTROL!$C$32, 31.4184, 31.4131) * CHOOSE(CONTROL!$C$15, $D$11, 100%, $F$11)</f>
        <v>31.418399999999998</v>
      </c>
      <c r="J753" s="4">
        <f>CHOOSE( CONTROL!$C$32, 31.2905, 31.2852) * CHOOSE(CONTROL!$C$15, $D$11, 100%, $F$11)</f>
        <v>31.290500000000002</v>
      </c>
      <c r="K753" s="4"/>
      <c r="L753" s="9">
        <v>30.7165</v>
      </c>
      <c r="M753" s="9">
        <v>12.063700000000001</v>
      </c>
      <c r="N753" s="9">
        <v>4.9444999999999997</v>
      </c>
      <c r="O753" s="9">
        <v>0.37409999999999999</v>
      </c>
      <c r="P753" s="9">
        <v>1.2183999999999999</v>
      </c>
      <c r="Q753" s="9">
        <v>19.688099999999999</v>
      </c>
      <c r="R753" s="9"/>
      <c r="S753" s="11"/>
    </row>
    <row r="754" spans="1:19" ht="15.75">
      <c r="A754" s="13">
        <v>64466</v>
      </c>
      <c r="B754" s="8">
        <f>CHOOSE( CONTROL!$C$32, 32.0974, 32.0919) * CHOOSE(CONTROL!$C$15, $D$11, 100%, $F$11)</f>
        <v>32.0974</v>
      </c>
      <c r="C754" s="8">
        <f>CHOOSE( CONTROL!$C$32, 32.1055, 32.0999) * CHOOSE(CONTROL!$C$15, $D$11, 100%, $F$11)</f>
        <v>32.105499999999999</v>
      </c>
      <c r="D754" s="8">
        <f>CHOOSE( CONTROL!$C$32, 32.1317, 32.1261) * CHOOSE( CONTROL!$C$15, $D$11, 100%, $F$11)</f>
        <v>32.131700000000002</v>
      </c>
      <c r="E754" s="12">
        <f>CHOOSE( CONTROL!$C$32, 32.121, 32.1154) * CHOOSE( CONTROL!$C$15, $D$11, 100%, $F$11)</f>
        <v>32.121000000000002</v>
      </c>
      <c r="F754" s="4">
        <f>CHOOSE( CONTROL!$C$32, 32.8098, 32.8043) * CHOOSE(CONTROL!$C$15, $D$11, 100%, $F$11)</f>
        <v>32.809800000000003</v>
      </c>
      <c r="G754" s="8">
        <f>CHOOSE( CONTROL!$C$32, 31.3356, 31.3302) * CHOOSE( CONTROL!$C$15, $D$11, 100%, $F$11)</f>
        <v>31.335599999999999</v>
      </c>
      <c r="H754" s="4">
        <f>CHOOSE( CONTROL!$C$32, 32.2802, 32.2748) * CHOOSE(CONTROL!$C$15, $D$11, 100%, $F$11)</f>
        <v>32.280200000000001</v>
      </c>
      <c r="I754" s="8">
        <f>CHOOSE( CONTROL!$C$32, 30.916, 30.9106) * CHOOSE(CONTROL!$C$15, $D$11, 100%, $F$11)</f>
        <v>30.916</v>
      </c>
      <c r="J754" s="4">
        <f>CHOOSE( CONTROL!$C$32, 30.7875, 30.7822) * CHOOSE(CONTROL!$C$15, $D$11, 100%, $F$11)</f>
        <v>30.787500000000001</v>
      </c>
      <c r="K754" s="4"/>
      <c r="L754" s="9">
        <v>29.7257</v>
      </c>
      <c r="M754" s="9">
        <v>11.6745</v>
      </c>
      <c r="N754" s="9">
        <v>4.7850000000000001</v>
      </c>
      <c r="O754" s="9">
        <v>0.36199999999999999</v>
      </c>
      <c r="P754" s="9">
        <v>1.1791</v>
      </c>
      <c r="Q754" s="9">
        <v>19.053000000000001</v>
      </c>
      <c r="R754" s="9"/>
      <c r="S754" s="11"/>
    </row>
    <row r="755" spans="1:19" ht="15.75">
      <c r="A755" s="13">
        <v>64497</v>
      </c>
      <c r="B755" s="8">
        <f>CHOOSE( CONTROL!$C$32, 33.477, 33.4715) * CHOOSE(CONTROL!$C$15, $D$11, 100%, $F$11)</f>
        <v>33.476999999999997</v>
      </c>
      <c r="C755" s="8">
        <f>CHOOSE( CONTROL!$C$32, 33.4851, 33.4796) * CHOOSE(CONTROL!$C$15, $D$11, 100%, $F$11)</f>
        <v>33.485100000000003</v>
      </c>
      <c r="D755" s="8">
        <f>CHOOSE( CONTROL!$C$32, 33.5115, 33.5059) * CHOOSE( CONTROL!$C$15, $D$11, 100%, $F$11)</f>
        <v>33.511499999999998</v>
      </c>
      <c r="E755" s="12">
        <f>CHOOSE( CONTROL!$C$32, 33.5007, 33.4951) * CHOOSE( CONTROL!$C$15, $D$11, 100%, $F$11)</f>
        <v>33.500700000000002</v>
      </c>
      <c r="F755" s="4">
        <f>CHOOSE( CONTROL!$C$32, 34.1894, 34.1839) * CHOOSE(CONTROL!$C$15, $D$11, 100%, $F$11)</f>
        <v>34.189399999999999</v>
      </c>
      <c r="G755" s="8">
        <f>CHOOSE( CONTROL!$C$32, 32.6834, 32.678) * CHOOSE( CONTROL!$C$15, $D$11, 100%, $F$11)</f>
        <v>32.683399999999999</v>
      </c>
      <c r="H755" s="4">
        <f>CHOOSE( CONTROL!$C$32, 33.6277, 33.6223) * CHOOSE(CONTROL!$C$15, $D$11, 100%, $F$11)</f>
        <v>33.627699999999997</v>
      </c>
      <c r="I755" s="8">
        <f>CHOOSE( CONTROL!$C$32, 32.2422, 32.2368) * CHOOSE(CONTROL!$C$15, $D$11, 100%, $F$11)</f>
        <v>32.242199999999997</v>
      </c>
      <c r="J755" s="4">
        <f>CHOOSE( CONTROL!$C$32, 32.1121, 32.1067) * CHOOSE(CONTROL!$C$15, $D$11, 100%, $F$11)</f>
        <v>32.112099999999998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1.2183999999999999</v>
      </c>
      <c r="Q755" s="9">
        <v>19.688099999999999</v>
      </c>
      <c r="R755" s="9"/>
      <c r="S755" s="11"/>
    </row>
    <row r="756" spans="1:19" ht="15.75">
      <c r="A756" s="13">
        <v>64528</v>
      </c>
      <c r="B756" s="8">
        <f>CHOOSE( CONTROL!$C$32, 30.8956, 30.8901) * CHOOSE(CONTROL!$C$15, $D$11, 100%, $F$11)</f>
        <v>30.895600000000002</v>
      </c>
      <c r="C756" s="8">
        <f>CHOOSE( CONTROL!$C$32, 30.9037, 30.8982) * CHOOSE(CONTROL!$C$15, $D$11, 100%, $F$11)</f>
        <v>30.903700000000001</v>
      </c>
      <c r="D756" s="8">
        <f>CHOOSE( CONTROL!$C$32, 30.9301, 30.9246) * CHOOSE( CONTROL!$C$15, $D$11, 100%, $F$11)</f>
        <v>30.930099999999999</v>
      </c>
      <c r="E756" s="12">
        <f>CHOOSE( CONTROL!$C$32, 30.9193, 30.9138) * CHOOSE( CONTROL!$C$15, $D$11, 100%, $F$11)</f>
        <v>30.9193</v>
      </c>
      <c r="F756" s="4">
        <f>CHOOSE( CONTROL!$C$32, 31.608, 31.6025) * CHOOSE(CONTROL!$C$15, $D$11, 100%, $F$11)</f>
        <v>31.608000000000001</v>
      </c>
      <c r="G756" s="8">
        <f>CHOOSE( CONTROL!$C$32, 30.1622, 30.1568) * CHOOSE( CONTROL!$C$15, $D$11, 100%, $F$11)</f>
        <v>30.162199999999999</v>
      </c>
      <c r="H756" s="4">
        <f>CHOOSE( CONTROL!$C$32, 31.1065, 31.101) * CHOOSE(CONTROL!$C$15, $D$11, 100%, $F$11)</f>
        <v>31.1065</v>
      </c>
      <c r="I756" s="8">
        <f>CHOOSE( CONTROL!$C$32, 29.7628, 29.7575) * CHOOSE(CONTROL!$C$15, $D$11, 100%, $F$11)</f>
        <v>29.762799999999999</v>
      </c>
      <c r="J756" s="4">
        <f>CHOOSE( CONTROL!$C$32, 29.6337, 29.6283) * CHOOSE(CONTROL!$C$15, $D$11, 100%, $F$11)</f>
        <v>29.633700000000001</v>
      </c>
      <c r="K756" s="4"/>
      <c r="L756" s="9">
        <v>30.7165</v>
      </c>
      <c r="M756" s="9">
        <v>12.063700000000001</v>
      </c>
      <c r="N756" s="9">
        <v>4.9444999999999997</v>
      </c>
      <c r="O756" s="9">
        <v>0.37409999999999999</v>
      </c>
      <c r="P756" s="9">
        <v>1.2183999999999999</v>
      </c>
      <c r="Q756" s="9">
        <v>19.688099999999999</v>
      </c>
      <c r="R756" s="9"/>
      <c r="S756" s="11"/>
    </row>
    <row r="757" spans="1:19" ht="15.75">
      <c r="A757" s="13">
        <v>64558</v>
      </c>
      <c r="B757" s="8">
        <f>CHOOSE( CONTROL!$C$32, 30.2492, 30.2437) * CHOOSE(CONTROL!$C$15, $D$11, 100%, $F$11)</f>
        <v>30.249199999999998</v>
      </c>
      <c r="C757" s="8">
        <f>CHOOSE( CONTROL!$C$32, 30.2573, 30.2517) * CHOOSE(CONTROL!$C$15, $D$11, 100%, $F$11)</f>
        <v>30.257300000000001</v>
      </c>
      <c r="D757" s="8">
        <f>CHOOSE( CONTROL!$C$32, 30.2837, 30.2781) * CHOOSE( CONTROL!$C$15, $D$11, 100%, $F$11)</f>
        <v>30.2837</v>
      </c>
      <c r="E757" s="12">
        <f>CHOOSE( CONTROL!$C$32, 30.2729, 30.2673) * CHOOSE( CONTROL!$C$15, $D$11, 100%, $F$11)</f>
        <v>30.2729</v>
      </c>
      <c r="F757" s="4">
        <f>CHOOSE( CONTROL!$C$32, 30.9616, 30.9561) * CHOOSE(CONTROL!$C$15, $D$11, 100%, $F$11)</f>
        <v>30.961600000000001</v>
      </c>
      <c r="G757" s="8">
        <f>CHOOSE( CONTROL!$C$32, 29.5308, 29.5254) * CHOOSE( CONTROL!$C$15, $D$11, 100%, $F$11)</f>
        <v>29.530799999999999</v>
      </c>
      <c r="H757" s="4">
        <f>CHOOSE( CONTROL!$C$32, 30.4751, 30.4697) * CHOOSE(CONTROL!$C$15, $D$11, 100%, $F$11)</f>
        <v>30.475100000000001</v>
      </c>
      <c r="I757" s="8">
        <f>CHOOSE( CONTROL!$C$32, 29.1417, 29.1363) * CHOOSE(CONTROL!$C$15, $D$11, 100%, $F$11)</f>
        <v>29.1417</v>
      </c>
      <c r="J757" s="4">
        <f>CHOOSE( CONTROL!$C$32, 29.0131, 29.0077) * CHOOSE(CONTROL!$C$15, $D$11, 100%, $F$11)</f>
        <v>29.013100000000001</v>
      </c>
      <c r="K757" s="4"/>
      <c r="L757" s="9">
        <v>29.7257</v>
      </c>
      <c r="M757" s="9">
        <v>11.6745</v>
      </c>
      <c r="N757" s="9">
        <v>4.7850000000000001</v>
      </c>
      <c r="O757" s="9">
        <v>0.36199999999999999</v>
      </c>
      <c r="P757" s="9">
        <v>1.1791</v>
      </c>
      <c r="Q757" s="9">
        <v>19.053000000000001</v>
      </c>
      <c r="R757" s="9"/>
      <c r="S757" s="11"/>
    </row>
    <row r="758" spans="1:19" ht="15.75">
      <c r="A758" s="13">
        <v>64589</v>
      </c>
      <c r="B758" s="8">
        <f>31.5841 * CHOOSE(CONTROL!$C$15, $D$11, 100%, $F$11)</f>
        <v>31.584099999999999</v>
      </c>
      <c r="C758" s="8">
        <f>31.5896 * CHOOSE(CONTROL!$C$15, $D$11, 100%, $F$11)</f>
        <v>31.589600000000001</v>
      </c>
      <c r="D758" s="8">
        <f>31.6207 * CHOOSE( CONTROL!$C$15, $D$11, 100%, $F$11)</f>
        <v>31.620699999999999</v>
      </c>
      <c r="E758" s="12">
        <f>31.6098 * CHOOSE( CONTROL!$C$15, $D$11, 100%, $F$11)</f>
        <v>31.6098</v>
      </c>
      <c r="F758" s="4">
        <f>32.2982 * CHOOSE(CONTROL!$C$15, $D$11, 100%, $F$11)</f>
        <v>32.298200000000001</v>
      </c>
      <c r="G758" s="8">
        <f>30.8354 * CHOOSE( CONTROL!$C$15, $D$11, 100%, $F$11)</f>
        <v>30.8354</v>
      </c>
      <c r="H758" s="4">
        <f>31.7806 * CHOOSE(CONTROL!$C$15, $D$11, 100%, $F$11)</f>
        <v>31.7806</v>
      </c>
      <c r="I758" s="8">
        <f>30.4264 * CHOOSE(CONTROL!$C$15, $D$11, 100%, $F$11)</f>
        <v>30.426400000000001</v>
      </c>
      <c r="J758" s="4">
        <f>30.2963 * CHOOSE(CONTROL!$C$15, $D$11, 100%, $F$11)</f>
        <v>30.296299999999999</v>
      </c>
      <c r="K758" s="4"/>
      <c r="L758" s="9">
        <v>31.095300000000002</v>
      </c>
      <c r="M758" s="9">
        <v>12.063700000000001</v>
      </c>
      <c r="N758" s="9">
        <v>4.9444999999999997</v>
      </c>
      <c r="O758" s="9">
        <v>0.37409999999999999</v>
      </c>
      <c r="P758" s="9">
        <v>1.2183999999999999</v>
      </c>
      <c r="Q758" s="9">
        <v>19.688099999999999</v>
      </c>
      <c r="R758" s="9"/>
      <c r="S758" s="11"/>
    </row>
    <row r="759" spans="1:19" ht="15.75">
      <c r="A759" s="13">
        <v>64619</v>
      </c>
      <c r="B759" s="8">
        <f>34.0611 * CHOOSE(CONTROL!$C$15, $D$11, 100%, $F$11)</f>
        <v>34.061100000000003</v>
      </c>
      <c r="C759" s="8">
        <f>34.0663 * CHOOSE(CONTROL!$C$15, $D$11, 100%, $F$11)</f>
        <v>34.066299999999998</v>
      </c>
      <c r="D759" s="8">
        <f>34.0525 * CHOOSE( CONTROL!$C$15, $D$11, 100%, $F$11)</f>
        <v>34.052500000000002</v>
      </c>
      <c r="E759" s="12">
        <f>34.057 * CHOOSE( CONTROL!$C$15, $D$11, 100%, $F$11)</f>
        <v>34.057000000000002</v>
      </c>
      <c r="F759" s="4">
        <f>34.7116 * CHOOSE(CONTROL!$C$15, $D$11, 100%, $F$11)</f>
        <v>34.711599999999997</v>
      </c>
      <c r="G759" s="8">
        <f>33.2627 * CHOOSE( CONTROL!$C$15, $D$11, 100%, $F$11)</f>
        <v>33.262700000000002</v>
      </c>
      <c r="H759" s="4">
        <f>34.1377 * CHOOSE(CONTROL!$C$15, $D$11, 100%, $F$11)</f>
        <v>34.137700000000002</v>
      </c>
      <c r="I759" s="8">
        <f>32.8498 * CHOOSE(CONTROL!$C$15, $D$11, 100%, $F$11)</f>
        <v>32.849800000000002</v>
      </c>
      <c r="J759" s="4">
        <f>32.6749 * CHOOSE(CONTROL!$C$15, $D$11, 100%, $F$11)</f>
        <v>32.674900000000001</v>
      </c>
      <c r="K759" s="4"/>
      <c r="L759" s="9">
        <v>28.360600000000002</v>
      </c>
      <c r="M759" s="9">
        <v>11.6745</v>
      </c>
      <c r="N759" s="9">
        <v>4.7850000000000001</v>
      </c>
      <c r="O759" s="9">
        <v>0.36199999999999999</v>
      </c>
      <c r="P759" s="9">
        <v>1.2509999999999999</v>
      </c>
      <c r="Q759" s="9">
        <v>19.053000000000001</v>
      </c>
      <c r="R759" s="9"/>
      <c r="S759" s="11"/>
    </row>
    <row r="760" spans="1:19" ht="15.75">
      <c r="A760" s="13">
        <v>64650</v>
      </c>
      <c r="B760" s="8">
        <f>33.9992 * CHOOSE(CONTROL!$C$15, $D$11, 100%, $F$11)</f>
        <v>33.999200000000002</v>
      </c>
      <c r="C760" s="8">
        <f>34.0044 * CHOOSE(CONTROL!$C$15, $D$11, 100%, $F$11)</f>
        <v>34.004399999999997</v>
      </c>
      <c r="D760" s="8">
        <f>33.9921 * CHOOSE( CONTROL!$C$15, $D$11, 100%, $F$11)</f>
        <v>33.992100000000001</v>
      </c>
      <c r="E760" s="12">
        <f>33.996 * CHOOSE( CONTROL!$C$15, $D$11, 100%, $F$11)</f>
        <v>33.996000000000002</v>
      </c>
      <c r="F760" s="4">
        <f>34.6497 * CHOOSE(CONTROL!$C$15, $D$11, 100%, $F$11)</f>
        <v>34.649700000000003</v>
      </c>
      <c r="G760" s="8">
        <f>33.2033 * CHOOSE( CONTROL!$C$15, $D$11, 100%, $F$11)</f>
        <v>33.203299999999999</v>
      </c>
      <c r="H760" s="4">
        <f>34.0772 * CHOOSE(CONTROL!$C$15, $D$11, 100%, $F$11)</f>
        <v>34.077199999999998</v>
      </c>
      <c r="I760" s="8">
        <f>32.7951 * CHOOSE(CONTROL!$C$15, $D$11, 100%, $F$11)</f>
        <v>32.795099999999998</v>
      </c>
      <c r="J760" s="4">
        <f>32.6155 * CHOOSE(CONTROL!$C$15, $D$11, 100%, $F$11)</f>
        <v>32.615499999999997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64681</v>
      </c>
      <c r="B761" s="8">
        <f>35.2975 * CHOOSE(CONTROL!$C$15, $D$11, 100%, $F$11)</f>
        <v>35.297499999999999</v>
      </c>
      <c r="C761" s="8">
        <f>35.3027 * CHOOSE(CONTROL!$C$15, $D$11, 100%, $F$11)</f>
        <v>35.302700000000002</v>
      </c>
      <c r="D761" s="8">
        <f>35.2852 * CHOOSE( CONTROL!$C$15, $D$11, 100%, $F$11)</f>
        <v>35.285200000000003</v>
      </c>
      <c r="E761" s="12">
        <f>35.291 * CHOOSE( CONTROL!$C$15, $D$11, 100%, $F$11)</f>
        <v>35.290999999999997</v>
      </c>
      <c r="F761" s="4">
        <f>35.948 * CHOOSE(CONTROL!$C$15, $D$11, 100%, $F$11)</f>
        <v>35.948</v>
      </c>
      <c r="G761" s="8">
        <f>34.4614 * CHOOSE( CONTROL!$C$15, $D$11, 100%, $F$11)</f>
        <v>34.461399999999998</v>
      </c>
      <c r="H761" s="4">
        <f>35.3453 * CHOOSE(CONTROL!$C$15, $D$11, 100%, $F$11)</f>
        <v>35.345300000000002</v>
      </c>
      <c r="I761" s="8">
        <f>34.0021 * CHOOSE(CONTROL!$C$15, $D$11, 100%, $F$11)</f>
        <v>34.002099999999999</v>
      </c>
      <c r="J761" s="4">
        <f>33.862 * CHOOSE(CONTROL!$C$15, $D$11, 100%, $F$11)</f>
        <v>33.862000000000002</v>
      </c>
      <c r="K761" s="4"/>
      <c r="L761" s="9">
        <v>29.306000000000001</v>
      </c>
      <c r="M761" s="9">
        <v>12.063700000000001</v>
      </c>
      <c r="N761" s="9">
        <v>4.9444999999999997</v>
      </c>
      <c r="O761" s="9">
        <v>0.37409999999999999</v>
      </c>
      <c r="P761" s="9">
        <v>1.2927</v>
      </c>
      <c r="Q761" s="9">
        <v>19.688099999999999</v>
      </c>
      <c r="R761" s="9"/>
      <c r="S761" s="11"/>
    </row>
    <row r="762" spans="1:19" ht="15.75">
      <c r="A762" s="13">
        <v>64709</v>
      </c>
      <c r="B762" s="8">
        <f>33.0174 * CHOOSE(CONTROL!$C$15, $D$11, 100%, $F$11)</f>
        <v>33.017400000000002</v>
      </c>
      <c r="C762" s="8">
        <f>33.0226 * CHOOSE(CONTROL!$C$15, $D$11, 100%, $F$11)</f>
        <v>33.022599999999997</v>
      </c>
      <c r="D762" s="8">
        <f>33.005 * CHOOSE( CONTROL!$C$15, $D$11, 100%, $F$11)</f>
        <v>33.005000000000003</v>
      </c>
      <c r="E762" s="12">
        <f>33.0109 * CHOOSE( CONTROL!$C$15, $D$11, 100%, $F$11)</f>
        <v>33.010899999999999</v>
      </c>
      <c r="F762" s="4">
        <f>33.6679 * CHOOSE(CONTROL!$C$15, $D$11, 100%, $F$11)</f>
        <v>33.667900000000003</v>
      </c>
      <c r="G762" s="8">
        <f>32.2344 * CHOOSE( CONTROL!$C$15, $D$11, 100%, $F$11)</f>
        <v>32.234400000000001</v>
      </c>
      <c r="H762" s="4">
        <f>33.1183 * CHOOSE(CONTROL!$C$15, $D$11, 100%, $F$11)</f>
        <v>33.118299999999998</v>
      </c>
      <c r="I762" s="8">
        <f>31.8117 * CHOOSE(CONTROL!$C$15, $D$11, 100%, $F$11)</f>
        <v>31.811699999999998</v>
      </c>
      <c r="J762" s="4">
        <f>31.6729 * CHOOSE(CONTROL!$C$15, $D$11, 100%, $F$11)</f>
        <v>31.672899999999998</v>
      </c>
      <c r="K762" s="4"/>
      <c r="L762" s="9">
        <v>26.469899999999999</v>
      </c>
      <c r="M762" s="9">
        <v>10.8962</v>
      </c>
      <c r="N762" s="9">
        <v>4.4660000000000002</v>
      </c>
      <c r="O762" s="9">
        <v>0.33789999999999998</v>
      </c>
      <c r="P762" s="9">
        <v>1.1676</v>
      </c>
      <c r="Q762" s="9">
        <v>17.782800000000002</v>
      </c>
      <c r="R762" s="9"/>
      <c r="S762" s="11"/>
    </row>
    <row r="763" spans="1:19" ht="15.75">
      <c r="A763" s="13">
        <v>64740</v>
      </c>
      <c r="B763" s="8">
        <f>32.3152 * CHOOSE(CONTROL!$C$15, $D$11, 100%, $F$11)</f>
        <v>32.315199999999997</v>
      </c>
      <c r="C763" s="8">
        <f>32.3204 * CHOOSE(CONTROL!$C$15, $D$11, 100%, $F$11)</f>
        <v>32.320399999999999</v>
      </c>
      <c r="D763" s="8">
        <f>32.3024 * CHOOSE( CONTROL!$C$15, $D$11, 100%, $F$11)</f>
        <v>32.302399999999999</v>
      </c>
      <c r="E763" s="12">
        <f>32.3084 * CHOOSE( CONTROL!$C$15, $D$11, 100%, $F$11)</f>
        <v>32.308399999999999</v>
      </c>
      <c r="F763" s="4">
        <f>32.9657 * CHOOSE(CONTROL!$C$15, $D$11, 100%, $F$11)</f>
        <v>32.965699999999998</v>
      </c>
      <c r="G763" s="8">
        <f>31.5482 * CHOOSE( CONTROL!$C$15, $D$11, 100%, $F$11)</f>
        <v>31.548200000000001</v>
      </c>
      <c r="H763" s="4">
        <f>32.4324 * CHOOSE(CONTROL!$C$15, $D$11, 100%, $F$11)</f>
        <v>32.432400000000001</v>
      </c>
      <c r="I763" s="8">
        <f>31.136 * CHOOSE(CONTROL!$C$15, $D$11, 100%, $F$11)</f>
        <v>31.135999999999999</v>
      </c>
      <c r="J763" s="4">
        <f>30.9986 * CHOOSE(CONTROL!$C$15, $D$11, 100%, $F$11)</f>
        <v>30.9986</v>
      </c>
      <c r="K763" s="4"/>
      <c r="L763" s="9">
        <v>29.306000000000001</v>
      </c>
      <c r="M763" s="9">
        <v>12.063700000000001</v>
      </c>
      <c r="N763" s="9">
        <v>4.9444999999999997</v>
      </c>
      <c r="O763" s="9">
        <v>0.37409999999999999</v>
      </c>
      <c r="P763" s="9">
        <v>1.2927</v>
      </c>
      <c r="Q763" s="9">
        <v>19.688099999999999</v>
      </c>
      <c r="R763" s="9"/>
      <c r="S763" s="11"/>
    </row>
    <row r="764" spans="1:19" ht="15.75">
      <c r="A764" s="13">
        <v>64770</v>
      </c>
      <c r="B764" s="8">
        <f>32.8067 * CHOOSE(CONTROL!$C$15, $D$11, 100%, $F$11)</f>
        <v>32.806699999999999</v>
      </c>
      <c r="C764" s="8">
        <f>32.8113 * CHOOSE(CONTROL!$C$15, $D$11, 100%, $F$11)</f>
        <v>32.811300000000003</v>
      </c>
      <c r="D764" s="8">
        <f>32.8424 * CHOOSE( CONTROL!$C$15, $D$11, 100%, $F$11)</f>
        <v>32.842399999999998</v>
      </c>
      <c r="E764" s="12">
        <f>32.8316 * CHOOSE( CONTROL!$C$15, $D$11, 100%, $F$11)</f>
        <v>32.831600000000002</v>
      </c>
      <c r="F764" s="4">
        <f>33.5204 * CHOOSE(CONTROL!$C$15, $D$11, 100%, $F$11)</f>
        <v>33.520400000000002</v>
      </c>
      <c r="G764" s="8">
        <f>32.0283 * CHOOSE( CONTROL!$C$15, $D$11, 100%, $F$11)</f>
        <v>32.028300000000002</v>
      </c>
      <c r="H764" s="4">
        <f>32.9743 * CHOOSE(CONTROL!$C$15, $D$11, 100%, $F$11)</f>
        <v>32.974299999999999</v>
      </c>
      <c r="I764" s="8">
        <f>31.5978 * CHOOSE(CONTROL!$C$15, $D$11, 100%, $F$11)</f>
        <v>31.597799999999999</v>
      </c>
      <c r="J764" s="4">
        <f>31.4698 * CHOOSE(CONTROL!$C$15, $D$11, 100%, $F$11)</f>
        <v>31.469799999999999</v>
      </c>
      <c r="K764" s="4"/>
      <c r="L764" s="9">
        <v>30.092199999999998</v>
      </c>
      <c r="M764" s="9">
        <v>11.6745</v>
      </c>
      <c r="N764" s="9">
        <v>4.7850000000000001</v>
      </c>
      <c r="O764" s="9">
        <v>0.36199999999999999</v>
      </c>
      <c r="P764" s="9">
        <v>1.1791</v>
      </c>
      <c r="Q764" s="9">
        <v>19.053000000000001</v>
      </c>
      <c r="R764" s="9"/>
      <c r="S764" s="11"/>
    </row>
    <row r="765" spans="1:19" ht="15.75">
      <c r="A765" s="13">
        <v>64801</v>
      </c>
      <c r="B765" s="8">
        <f>CHOOSE( CONTROL!$C$32, 33.687, 33.6814) * CHOOSE(CONTROL!$C$15, $D$11, 100%, $F$11)</f>
        <v>33.686999999999998</v>
      </c>
      <c r="C765" s="8">
        <f>CHOOSE( CONTROL!$C$32, 33.6951, 33.6895) * CHOOSE(CONTROL!$C$15, $D$11, 100%, $F$11)</f>
        <v>33.695099999999996</v>
      </c>
      <c r="D765" s="8">
        <f>CHOOSE( CONTROL!$C$32, 33.721, 33.7155) * CHOOSE( CONTROL!$C$15, $D$11, 100%, $F$11)</f>
        <v>33.720999999999997</v>
      </c>
      <c r="E765" s="12">
        <f>CHOOSE( CONTROL!$C$32, 33.7104, 33.7048) * CHOOSE( CONTROL!$C$15, $D$11, 100%, $F$11)</f>
        <v>33.7104</v>
      </c>
      <c r="F765" s="4">
        <f>CHOOSE( CONTROL!$C$32, 34.3994, 34.3938) * CHOOSE(CONTROL!$C$15, $D$11, 100%, $F$11)</f>
        <v>34.3994</v>
      </c>
      <c r="G765" s="8">
        <f>CHOOSE( CONTROL!$C$32, 32.8879, 32.8825) * CHOOSE( CONTROL!$C$15, $D$11, 100%, $F$11)</f>
        <v>32.887900000000002</v>
      </c>
      <c r="H765" s="4">
        <f>CHOOSE( CONTROL!$C$32, 33.8328, 33.8273) * CHOOSE(CONTROL!$C$15, $D$11, 100%, $F$11)</f>
        <v>33.832799999999999</v>
      </c>
      <c r="I765" s="8">
        <f>CHOOSE( CONTROL!$C$32, 32.4421, 32.4367) * CHOOSE(CONTROL!$C$15, $D$11, 100%, $F$11)</f>
        <v>32.442100000000003</v>
      </c>
      <c r="J765" s="4">
        <f>CHOOSE( CONTROL!$C$32, 32.3137, 32.3083) * CHOOSE(CONTROL!$C$15, $D$11, 100%, $F$11)</f>
        <v>32.313699999999997</v>
      </c>
      <c r="K765" s="4"/>
      <c r="L765" s="9">
        <v>30.7165</v>
      </c>
      <c r="M765" s="9">
        <v>12.063700000000001</v>
      </c>
      <c r="N765" s="9">
        <v>4.9444999999999997</v>
      </c>
      <c r="O765" s="9">
        <v>0.37409999999999999</v>
      </c>
      <c r="P765" s="9">
        <v>1.2183999999999999</v>
      </c>
      <c r="Q765" s="9">
        <v>19.688099999999999</v>
      </c>
      <c r="R765" s="9"/>
      <c r="S765" s="11"/>
    </row>
    <row r="766" spans="1:19" ht="15.75">
      <c r="A766" s="13">
        <v>64831</v>
      </c>
      <c r="B766" s="8">
        <f>CHOOSE( CONTROL!$C$32, 33.146, 33.1404) * CHOOSE(CONTROL!$C$15, $D$11, 100%, $F$11)</f>
        <v>33.146000000000001</v>
      </c>
      <c r="C766" s="8">
        <f>CHOOSE( CONTROL!$C$32, 33.154, 33.1485) * CHOOSE(CONTROL!$C$15, $D$11, 100%, $F$11)</f>
        <v>33.154000000000003</v>
      </c>
      <c r="D766" s="8">
        <f>CHOOSE( CONTROL!$C$32, 33.1802, 33.1746) * CHOOSE( CONTROL!$C$15, $D$11, 100%, $F$11)</f>
        <v>33.180199999999999</v>
      </c>
      <c r="E766" s="12">
        <f>CHOOSE( CONTROL!$C$32, 33.1695, 33.1639) * CHOOSE( CONTROL!$C$15, $D$11, 100%, $F$11)</f>
        <v>33.169499999999999</v>
      </c>
      <c r="F766" s="4">
        <f>CHOOSE( CONTROL!$C$32, 33.8584, 33.8528) * CHOOSE(CONTROL!$C$15, $D$11, 100%, $F$11)</f>
        <v>33.858400000000003</v>
      </c>
      <c r="G766" s="8">
        <f>CHOOSE( CONTROL!$C$32, 32.3597, 32.3543) * CHOOSE( CONTROL!$C$15, $D$11, 100%, $F$11)</f>
        <v>32.359699999999997</v>
      </c>
      <c r="H766" s="4">
        <f>CHOOSE( CONTROL!$C$32, 33.3043, 33.2989) * CHOOSE(CONTROL!$C$15, $D$11, 100%, $F$11)</f>
        <v>33.304299999999998</v>
      </c>
      <c r="I766" s="8">
        <f>CHOOSE( CONTROL!$C$32, 31.9232, 31.9178) * CHOOSE(CONTROL!$C$15, $D$11, 100%, $F$11)</f>
        <v>31.923200000000001</v>
      </c>
      <c r="J766" s="4">
        <f>CHOOSE( CONTROL!$C$32, 31.7942, 31.7889) * CHOOSE(CONTROL!$C$15, $D$11, 100%, $F$11)</f>
        <v>31.7942</v>
      </c>
      <c r="K766" s="4"/>
      <c r="L766" s="9">
        <v>29.7257</v>
      </c>
      <c r="M766" s="9">
        <v>11.6745</v>
      </c>
      <c r="N766" s="9">
        <v>4.7850000000000001</v>
      </c>
      <c r="O766" s="9">
        <v>0.36199999999999999</v>
      </c>
      <c r="P766" s="9">
        <v>1.1791</v>
      </c>
      <c r="Q766" s="9">
        <v>19.053000000000001</v>
      </c>
      <c r="R766" s="9"/>
      <c r="S766" s="11"/>
    </row>
    <row r="767" spans="1:19" ht="15.75">
      <c r="A767" s="13">
        <v>64862</v>
      </c>
      <c r="B767" s="8">
        <f>CHOOSE( CONTROL!$C$32, 34.5707, 34.5651) * CHOOSE(CONTROL!$C$15, $D$11, 100%, $F$11)</f>
        <v>34.570700000000002</v>
      </c>
      <c r="C767" s="8">
        <f>CHOOSE( CONTROL!$C$32, 34.5788, 34.5732) * CHOOSE(CONTROL!$C$15, $D$11, 100%, $F$11)</f>
        <v>34.578800000000001</v>
      </c>
      <c r="D767" s="8">
        <f>CHOOSE( CONTROL!$C$32, 34.6051, 34.5995) * CHOOSE( CONTROL!$C$15, $D$11, 100%, $F$11)</f>
        <v>34.6051</v>
      </c>
      <c r="E767" s="12">
        <f>CHOOSE( CONTROL!$C$32, 34.5943, 34.5887) * CHOOSE( CONTROL!$C$15, $D$11, 100%, $F$11)</f>
        <v>34.594299999999997</v>
      </c>
      <c r="F767" s="4">
        <f>CHOOSE( CONTROL!$C$32, 35.2831, 35.2775) * CHOOSE(CONTROL!$C$15, $D$11, 100%, $F$11)</f>
        <v>35.283099999999997</v>
      </c>
      <c r="G767" s="8">
        <f>CHOOSE( CONTROL!$C$32, 33.7516, 33.7461) * CHOOSE( CONTROL!$C$15, $D$11, 100%, $F$11)</f>
        <v>33.751600000000003</v>
      </c>
      <c r="H767" s="4">
        <f>CHOOSE( CONTROL!$C$32, 34.6959, 34.6904) * CHOOSE(CONTROL!$C$15, $D$11, 100%, $F$11)</f>
        <v>34.695900000000002</v>
      </c>
      <c r="I767" s="8">
        <f>CHOOSE( CONTROL!$C$32, 33.2927, 33.2874) * CHOOSE(CONTROL!$C$15, $D$11, 100%, $F$11)</f>
        <v>33.292700000000004</v>
      </c>
      <c r="J767" s="4">
        <f>CHOOSE( CONTROL!$C$32, 33.1621, 33.1568) * CHOOSE(CONTROL!$C$15, $D$11, 100%, $F$11)</f>
        <v>33.162100000000002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1.2183999999999999</v>
      </c>
      <c r="Q767" s="9">
        <v>19.688099999999999</v>
      </c>
      <c r="R767" s="9"/>
      <c r="S767" s="11"/>
    </row>
    <row r="768" spans="1:19" ht="15.75">
      <c r="A768" s="13">
        <v>64893</v>
      </c>
      <c r="B768" s="8">
        <f>CHOOSE( CONTROL!$C$32, 31.9049, 31.8993) * CHOOSE(CONTROL!$C$15, $D$11, 100%, $F$11)</f>
        <v>31.904900000000001</v>
      </c>
      <c r="C768" s="8">
        <f>CHOOSE( CONTROL!$C$32, 31.913, 31.9074) * CHOOSE(CONTROL!$C$15, $D$11, 100%, $F$11)</f>
        <v>31.913</v>
      </c>
      <c r="D768" s="8">
        <f>CHOOSE( CONTROL!$C$32, 31.9394, 31.9338) * CHOOSE( CONTROL!$C$15, $D$11, 100%, $F$11)</f>
        <v>31.939399999999999</v>
      </c>
      <c r="E768" s="12">
        <f>CHOOSE( CONTROL!$C$32, 31.9286, 31.923) * CHOOSE( CONTROL!$C$15, $D$11, 100%, $F$11)</f>
        <v>31.928599999999999</v>
      </c>
      <c r="F768" s="4">
        <f>CHOOSE( CONTROL!$C$32, 32.6173, 32.6117) * CHOOSE(CONTROL!$C$15, $D$11, 100%, $F$11)</f>
        <v>32.6173</v>
      </c>
      <c r="G768" s="8">
        <f>CHOOSE( CONTROL!$C$32, 31.1479, 31.1425) * CHOOSE( CONTROL!$C$15, $D$11, 100%, $F$11)</f>
        <v>31.1479</v>
      </c>
      <c r="H768" s="4">
        <f>CHOOSE( CONTROL!$C$32, 32.0922, 32.0867) * CHOOSE(CONTROL!$C$15, $D$11, 100%, $F$11)</f>
        <v>32.092199999999998</v>
      </c>
      <c r="I768" s="8">
        <f>CHOOSE( CONTROL!$C$32, 30.7323, 30.7269) * CHOOSE(CONTROL!$C$15, $D$11, 100%, $F$11)</f>
        <v>30.732299999999999</v>
      </c>
      <c r="J768" s="4">
        <f>CHOOSE( CONTROL!$C$32, 30.6026, 30.5973) * CHOOSE(CONTROL!$C$15, $D$11, 100%, $F$11)</f>
        <v>30.602599999999999</v>
      </c>
      <c r="K768" s="4"/>
      <c r="L768" s="9">
        <v>30.7165</v>
      </c>
      <c r="M768" s="9">
        <v>12.063700000000001</v>
      </c>
      <c r="N768" s="9">
        <v>4.9444999999999997</v>
      </c>
      <c r="O768" s="9">
        <v>0.37409999999999999</v>
      </c>
      <c r="P768" s="9">
        <v>1.2183999999999999</v>
      </c>
      <c r="Q768" s="9">
        <v>19.688099999999999</v>
      </c>
      <c r="R768" s="9"/>
      <c r="S768" s="11"/>
    </row>
    <row r="769" spans="1:19" ht="15.75">
      <c r="A769" s="13">
        <v>64923</v>
      </c>
      <c r="B769" s="8">
        <f>CHOOSE( CONTROL!$C$32, 31.2373, 31.2317) * CHOOSE(CONTROL!$C$15, $D$11, 100%, $F$11)</f>
        <v>31.237300000000001</v>
      </c>
      <c r="C769" s="8">
        <f>CHOOSE( CONTROL!$C$32, 31.2454, 31.2398) * CHOOSE(CONTROL!$C$15, $D$11, 100%, $F$11)</f>
        <v>31.2454</v>
      </c>
      <c r="D769" s="8">
        <f>CHOOSE( CONTROL!$C$32, 31.2717, 31.2662) * CHOOSE( CONTROL!$C$15, $D$11, 100%, $F$11)</f>
        <v>31.271699999999999</v>
      </c>
      <c r="E769" s="12">
        <f>CHOOSE( CONTROL!$C$32, 31.2609, 31.2554) * CHOOSE( CONTROL!$C$15, $D$11, 100%, $F$11)</f>
        <v>31.260899999999999</v>
      </c>
      <c r="F769" s="4">
        <f>CHOOSE( CONTROL!$C$32, 31.9497, 31.9441) * CHOOSE(CONTROL!$C$15, $D$11, 100%, $F$11)</f>
        <v>31.9497</v>
      </c>
      <c r="G769" s="8">
        <f>CHOOSE( CONTROL!$C$32, 30.4959, 30.4904) * CHOOSE( CONTROL!$C$15, $D$11, 100%, $F$11)</f>
        <v>30.495899999999999</v>
      </c>
      <c r="H769" s="4">
        <f>CHOOSE( CONTROL!$C$32, 31.4402, 31.4347) * CHOOSE(CONTROL!$C$15, $D$11, 100%, $F$11)</f>
        <v>31.440200000000001</v>
      </c>
      <c r="I769" s="8">
        <f>CHOOSE( CONTROL!$C$32, 30.0908, 30.0854) * CHOOSE(CONTROL!$C$15, $D$11, 100%, $F$11)</f>
        <v>30.090800000000002</v>
      </c>
      <c r="J769" s="4">
        <f>CHOOSE( CONTROL!$C$32, 29.9617, 29.9564) * CHOOSE(CONTROL!$C$15, $D$11, 100%, $F$11)</f>
        <v>29.9617</v>
      </c>
      <c r="K769" s="4"/>
      <c r="L769" s="9">
        <v>29.7257</v>
      </c>
      <c r="M769" s="9">
        <v>11.6745</v>
      </c>
      <c r="N769" s="9">
        <v>4.7850000000000001</v>
      </c>
      <c r="O769" s="9">
        <v>0.36199999999999999</v>
      </c>
      <c r="P769" s="9">
        <v>1.1791</v>
      </c>
      <c r="Q769" s="9">
        <v>19.053000000000001</v>
      </c>
      <c r="R769" s="9"/>
      <c r="S769" s="11"/>
    </row>
    <row r="770" spans="1:19" ht="15.75">
      <c r="A770" s="13">
        <v>64954</v>
      </c>
      <c r="B770" s="8">
        <f>32.6161 * CHOOSE(CONTROL!$C$15, $D$11, 100%, $F$11)</f>
        <v>32.616100000000003</v>
      </c>
      <c r="C770" s="8">
        <f>32.6215 * CHOOSE(CONTROL!$C$15, $D$11, 100%, $F$11)</f>
        <v>32.621499999999997</v>
      </c>
      <c r="D770" s="8">
        <f>32.6527 * CHOOSE( CONTROL!$C$15, $D$11, 100%, $F$11)</f>
        <v>32.652700000000003</v>
      </c>
      <c r="E770" s="12">
        <f>32.6418 * CHOOSE( CONTROL!$C$15, $D$11, 100%, $F$11)</f>
        <v>32.641800000000003</v>
      </c>
      <c r="F770" s="4">
        <f>33.3302 * CHOOSE(CONTROL!$C$15, $D$11, 100%, $F$11)</f>
        <v>33.330199999999998</v>
      </c>
      <c r="G770" s="8">
        <f>31.8433 * CHOOSE( CONTROL!$C$15, $D$11, 100%, $F$11)</f>
        <v>31.843299999999999</v>
      </c>
      <c r="H770" s="4">
        <f>32.7885 * CHOOSE(CONTROL!$C$15, $D$11, 100%, $F$11)</f>
        <v>32.788499999999999</v>
      </c>
      <c r="I770" s="8">
        <f>31.4177 * CHOOSE(CONTROL!$C$15, $D$11, 100%, $F$11)</f>
        <v>31.4177</v>
      </c>
      <c r="J770" s="4">
        <f>31.2871 * CHOOSE(CONTROL!$C$15, $D$11, 100%, $F$11)</f>
        <v>31.287099999999999</v>
      </c>
      <c r="K770" s="4"/>
      <c r="L770" s="9">
        <v>31.095300000000002</v>
      </c>
      <c r="M770" s="9">
        <v>12.063700000000001</v>
      </c>
      <c r="N770" s="9">
        <v>4.9444999999999997</v>
      </c>
      <c r="O770" s="9">
        <v>0.37409999999999999</v>
      </c>
      <c r="P770" s="9">
        <v>1.2183999999999999</v>
      </c>
      <c r="Q770" s="9">
        <v>19.688099999999999</v>
      </c>
      <c r="R770" s="9"/>
      <c r="S770" s="11"/>
    </row>
    <row r="771" spans="1:19" ht="15.75">
      <c r="A771" s="13">
        <v>64984</v>
      </c>
      <c r="B771" s="8">
        <f>35.1741 * CHOOSE(CONTROL!$C$15, $D$11, 100%, $F$11)</f>
        <v>35.174100000000003</v>
      </c>
      <c r="C771" s="8">
        <f>35.1793 * CHOOSE(CONTROL!$C$15, $D$11, 100%, $F$11)</f>
        <v>35.179299999999998</v>
      </c>
      <c r="D771" s="8">
        <f>35.1655 * CHOOSE( CONTROL!$C$15, $D$11, 100%, $F$11)</f>
        <v>35.165500000000002</v>
      </c>
      <c r="E771" s="12">
        <f>35.17 * CHOOSE( CONTROL!$C$15, $D$11, 100%, $F$11)</f>
        <v>35.17</v>
      </c>
      <c r="F771" s="4">
        <f>35.8246 * CHOOSE(CONTROL!$C$15, $D$11, 100%, $F$11)</f>
        <v>35.824599999999997</v>
      </c>
      <c r="G771" s="8">
        <f>34.3497 * CHOOSE( CONTROL!$C$15, $D$11, 100%, $F$11)</f>
        <v>34.349699999999999</v>
      </c>
      <c r="H771" s="4">
        <f>35.2247 * CHOOSE(CONTROL!$C$15, $D$11, 100%, $F$11)</f>
        <v>35.224699999999999</v>
      </c>
      <c r="I771" s="8">
        <f>33.9189 * CHOOSE(CONTROL!$C$15, $D$11, 100%, $F$11)</f>
        <v>33.918900000000001</v>
      </c>
      <c r="J771" s="4">
        <f>33.7435 * CHOOSE(CONTROL!$C$15, $D$11, 100%, $F$11)</f>
        <v>33.743499999999997</v>
      </c>
      <c r="K771" s="4"/>
      <c r="L771" s="9">
        <v>28.360600000000002</v>
      </c>
      <c r="M771" s="9">
        <v>11.6745</v>
      </c>
      <c r="N771" s="9">
        <v>4.7850000000000001</v>
      </c>
      <c r="O771" s="9">
        <v>0.36199999999999999</v>
      </c>
      <c r="P771" s="9">
        <v>1.2509999999999999</v>
      </c>
      <c r="Q771" s="9">
        <v>19.053000000000001</v>
      </c>
      <c r="R771" s="9"/>
      <c r="S771" s="11"/>
    </row>
    <row r="772" spans="1:19" ht="15.75">
      <c r="A772" s="13">
        <v>65015</v>
      </c>
      <c r="B772" s="8">
        <f>35.1102 * CHOOSE(CONTROL!$C$15, $D$11, 100%, $F$11)</f>
        <v>35.110199999999999</v>
      </c>
      <c r="C772" s="8">
        <f>35.1154 * CHOOSE(CONTROL!$C$15, $D$11, 100%, $F$11)</f>
        <v>35.115400000000001</v>
      </c>
      <c r="D772" s="8">
        <f>35.1031 * CHOOSE( CONTROL!$C$15, $D$11, 100%, $F$11)</f>
        <v>35.103099999999998</v>
      </c>
      <c r="E772" s="12">
        <f>35.107 * CHOOSE( CONTROL!$C$15, $D$11, 100%, $F$11)</f>
        <v>35.106999999999999</v>
      </c>
      <c r="F772" s="4">
        <f>35.7606 * CHOOSE(CONTROL!$C$15, $D$11, 100%, $F$11)</f>
        <v>35.760599999999997</v>
      </c>
      <c r="G772" s="8">
        <f>34.2884 * CHOOSE( CONTROL!$C$15, $D$11, 100%, $F$11)</f>
        <v>34.288400000000003</v>
      </c>
      <c r="H772" s="4">
        <f>35.1623 * CHOOSE(CONTROL!$C$15, $D$11, 100%, $F$11)</f>
        <v>35.162300000000002</v>
      </c>
      <c r="I772" s="8">
        <f>33.8623 * CHOOSE(CONTROL!$C$15, $D$11, 100%, $F$11)</f>
        <v>33.862299999999998</v>
      </c>
      <c r="J772" s="4">
        <f>33.6821 * CHOOSE(CONTROL!$C$15, $D$11, 100%, $F$11)</f>
        <v>33.682099999999998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65046</v>
      </c>
      <c r="B773" s="8">
        <f>36.451 * CHOOSE(CONTROL!$C$15, $D$11, 100%, $F$11)</f>
        <v>36.451000000000001</v>
      </c>
      <c r="C773" s="8">
        <f>36.4562 * CHOOSE(CONTROL!$C$15, $D$11, 100%, $F$11)</f>
        <v>36.456200000000003</v>
      </c>
      <c r="D773" s="8">
        <f>36.4386 * CHOOSE( CONTROL!$C$15, $D$11, 100%, $F$11)</f>
        <v>36.438600000000001</v>
      </c>
      <c r="E773" s="12">
        <f>36.4445 * CHOOSE( CONTROL!$C$15, $D$11, 100%, $F$11)</f>
        <v>36.444499999999998</v>
      </c>
      <c r="F773" s="4">
        <f>37.1014 * CHOOSE(CONTROL!$C$15, $D$11, 100%, $F$11)</f>
        <v>37.101399999999998</v>
      </c>
      <c r="G773" s="8">
        <f>35.5879 * CHOOSE( CONTROL!$C$15, $D$11, 100%, $F$11)</f>
        <v>35.587899999999998</v>
      </c>
      <c r="H773" s="4">
        <f>36.4719 * CHOOSE(CONTROL!$C$15, $D$11, 100%, $F$11)</f>
        <v>36.471899999999998</v>
      </c>
      <c r="I773" s="8">
        <f>35.1101 * CHOOSE(CONTROL!$C$15, $D$11, 100%, $F$11)</f>
        <v>35.110100000000003</v>
      </c>
      <c r="J773" s="4">
        <f>34.9694 * CHOOSE(CONTROL!$C$15, $D$11, 100%, $F$11)</f>
        <v>34.9694</v>
      </c>
      <c r="K773" s="4"/>
      <c r="L773" s="9">
        <v>29.306000000000001</v>
      </c>
      <c r="M773" s="9">
        <v>12.063700000000001</v>
      </c>
      <c r="N773" s="9">
        <v>4.9444999999999997</v>
      </c>
      <c r="O773" s="9">
        <v>0.37409999999999999</v>
      </c>
      <c r="P773" s="9">
        <v>1.2927</v>
      </c>
      <c r="Q773" s="9">
        <v>19.688099999999999</v>
      </c>
      <c r="R773" s="9"/>
      <c r="S773" s="11"/>
    </row>
    <row r="774" spans="1:19" ht="15.75">
      <c r="A774" s="13">
        <v>65074</v>
      </c>
      <c r="B774" s="8">
        <f>34.0963 * CHOOSE(CONTROL!$C$15, $D$11, 100%, $F$11)</f>
        <v>34.096299999999999</v>
      </c>
      <c r="C774" s="8">
        <f>34.1015 * CHOOSE(CONTROL!$C$15, $D$11, 100%, $F$11)</f>
        <v>34.101500000000001</v>
      </c>
      <c r="D774" s="8">
        <f>34.0839 * CHOOSE( CONTROL!$C$15, $D$11, 100%, $F$11)</f>
        <v>34.0839</v>
      </c>
      <c r="E774" s="12">
        <f>34.0898 * CHOOSE( CONTROL!$C$15, $D$11, 100%, $F$11)</f>
        <v>34.089799999999997</v>
      </c>
      <c r="F774" s="4">
        <f>34.7468 * CHOOSE(CONTROL!$C$15, $D$11, 100%, $F$11)</f>
        <v>34.7468</v>
      </c>
      <c r="G774" s="8">
        <f>33.2881 * CHOOSE( CONTROL!$C$15, $D$11, 100%, $F$11)</f>
        <v>33.2881</v>
      </c>
      <c r="H774" s="4">
        <f>34.1721 * CHOOSE(CONTROL!$C$15, $D$11, 100%, $F$11)</f>
        <v>34.1721</v>
      </c>
      <c r="I774" s="8">
        <f>32.8481 * CHOOSE(CONTROL!$C$15, $D$11, 100%, $F$11)</f>
        <v>32.848100000000002</v>
      </c>
      <c r="J774" s="4">
        <f>32.7087 * CHOOSE(CONTROL!$C$15, $D$11, 100%, $F$11)</f>
        <v>32.7087</v>
      </c>
      <c r="K774" s="4"/>
      <c r="L774" s="9">
        <v>26.469899999999999</v>
      </c>
      <c r="M774" s="9">
        <v>10.8962</v>
      </c>
      <c r="N774" s="9">
        <v>4.4660000000000002</v>
      </c>
      <c r="O774" s="9">
        <v>0.33789999999999998</v>
      </c>
      <c r="P774" s="9">
        <v>1.1676</v>
      </c>
      <c r="Q774" s="9">
        <v>17.782800000000002</v>
      </c>
      <c r="R774" s="9"/>
      <c r="S774" s="11"/>
    </row>
    <row r="775" spans="1:19" ht="15.75">
      <c r="A775" s="13">
        <v>65105</v>
      </c>
      <c r="B775" s="8">
        <f>33.3711 * CHOOSE(CONTROL!$C$15, $D$11, 100%, $F$11)</f>
        <v>33.371099999999998</v>
      </c>
      <c r="C775" s="8">
        <f>33.3763 * CHOOSE(CONTROL!$C$15, $D$11, 100%, $F$11)</f>
        <v>33.376300000000001</v>
      </c>
      <c r="D775" s="8">
        <f>33.3583 * CHOOSE( CONTROL!$C$15, $D$11, 100%, $F$11)</f>
        <v>33.3583</v>
      </c>
      <c r="E775" s="12">
        <f>33.3643 * CHOOSE( CONTROL!$C$15, $D$11, 100%, $F$11)</f>
        <v>33.3643</v>
      </c>
      <c r="F775" s="4">
        <f>34.0216 * CHOOSE(CONTROL!$C$15, $D$11, 100%, $F$11)</f>
        <v>34.021599999999999</v>
      </c>
      <c r="G775" s="8">
        <f>32.5795 * CHOOSE( CONTROL!$C$15, $D$11, 100%, $F$11)</f>
        <v>32.579500000000003</v>
      </c>
      <c r="H775" s="4">
        <f>33.4637 * CHOOSE(CONTROL!$C$15, $D$11, 100%, $F$11)</f>
        <v>33.463700000000003</v>
      </c>
      <c r="I775" s="8">
        <f>32.1502 * CHOOSE(CONTROL!$C$15, $D$11, 100%, $F$11)</f>
        <v>32.150199999999998</v>
      </c>
      <c r="J775" s="4">
        <f>32.0124 * CHOOSE(CONTROL!$C$15, $D$11, 100%, $F$11)</f>
        <v>32.0124</v>
      </c>
      <c r="K775" s="4"/>
      <c r="L775" s="9">
        <v>29.306000000000001</v>
      </c>
      <c r="M775" s="9">
        <v>12.063700000000001</v>
      </c>
      <c r="N775" s="9">
        <v>4.9444999999999997</v>
      </c>
      <c r="O775" s="9">
        <v>0.37409999999999999</v>
      </c>
      <c r="P775" s="9">
        <v>1.2927</v>
      </c>
      <c r="Q775" s="9">
        <v>19.688099999999999</v>
      </c>
      <c r="R775" s="9"/>
      <c r="S775" s="11"/>
    </row>
    <row r="776" spans="1:19" ht="15.75">
      <c r="A776" s="13">
        <v>65135</v>
      </c>
      <c r="B776" s="8">
        <f>33.8786 * CHOOSE(CONTROL!$C$15, $D$11, 100%, $F$11)</f>
        <v>33.878599999999999</v>
      </c>
      <c r="C776" s="8">
        <f>33.8832 * CHOOSE(CONTROL!$C$15, $D$11, 100%, $F$11)</f>
        <v>33.883200000000002</v>
      </c>
      <c r="D776" s="8">
        <f>33.9144 * CHOOSE( CONTROL!$C$15, $D$11, 100%, $F$11)</f>
        <v>33.914400000000001</v>
      </c>
      <c r="E776" s="12">
        <f>33.9036 * CHOOSE( CONTROL!$C$15, $D$11, 100%, $F$11)</f>
        <v>33.903599999999997</v>
      </c>
      <c r="F776" s="4">
        <f>34.5924 * CHOOSE(CONTROL!$C$15, $D$11, 100%, $F$11)</f>
        <v>34.592399999999998</v>
      </c>
      <c r="G776" s="8">
        <f>33.0753 * CHOOSE( CONTROL!$C$15, $D$11, 100%, $F$11)</f>
        <v>33.075299999999999</v>
      </c>
      <c r="H776" s="4">
        <f>34.0213 * CHOOSE(CONTROL!$C$15, $D$11, 100%, $F$11)</f>
        <v>34.021299999999997</v>
      </c>
      <c r="I776" s="8">
        <f>32.6275 * CHOOSE(CONTROL!$C$15, $D$11, 100%, $F$11)</f>
        <v>32.627499999999998</v>
      </c>
      <c r="J776" s="4">
        <f>32.499 * CHOOSE(CONTROL!$C$15, $D$11, 100%, $F$11)</f>
        <v>32.499000000000002</v>
      </c>
      <c r="K776" s="4"/>
      <c r="L776" s="9">
        <v>30.092199999999998</v>
      </c>
      <c r="M776" s="9">
        <v>11.6745</v>
      </c>
      <c r="N776" s="9">
        <v>4.7850000000000001</v>
      </c>
      <c r="O776" s="9">
        <v>0.36199999999999999</v>
      </c>
      <c r="P776" s="9">
        <v>1.1791</v>
      </c>
      <c r="Q776" s="9">
        <v>19.053000000000001</v>
      </c>
      <c r="R776" s="9"/>
      <c r="S776" s="11"/>
    </row>
    <row r="777" spans="1:19" ht="15.75">
      <c r="A777" s="13">
        <v>65166</v>
      </c>
      <c r="B777" s="8">
        <f>CHOOSE( CONTROL!$C$32, 34.7875, 34.7819) * CHOOSE(CONTROL!$C$15, $D$11, 100%, $F$11)</f>
        <v>34.787500000000001</v>
      </c>
      <c r="C777" s="8">
        <f>CHOOSE( CONTROL!$C$32, 34.7956, 34.79) * CHOOSE(CONTROL!$C$15, $D$11, 100%, $F$11)</f>
        <v>34.7956</v>
      </c>
      <c r="D777" s="8">
        <f>CHOOSE( CONTROL!$C$32, 34.8216, 34.816) * CHOOSE( CONTROL!$C$15, $D$11, 100%, $F$11)</f>
        <v>34.821599999999997</v>
      </c>
      <c r="E777" s="12">
        <f>CHOOSE( CONTROL!$C$32, 34.8109, 34.8053) * CHOOSE( CONTROL!$C$15, $D$11, 100%, $F$11)</f>
        <v>34.810899999999997</v>
      </c>
      <c r="F777" s="4">
        <f>CHOOSE( CONTROL!$C$32, 35.4999, 35.4943) * CHOOSE(CONTROL!$C$15, $D$11, 100%, $F$11)</f>
        <v>35.499899999999997</v>
      </c>
      <c r="G777" s="8">
        <f>CHOOSE( CONTROL!$C$32, 33.9628, 33.9573) * CHOOSE( CONTROL!$C$15, $D$11, 100%, $F$11)</f>
        <v>33.962800000000001</v>
      </c>
      <c r="H777" s="4">
        <f>CHOOSE( CONTROL!$C$32, 34.9076, 34.9022) * CHOOSE(CONTROL!$C$15, $D$11, 100%, $F$11)</f>
        <v>34.907600000000002</v>
      </c>
      <c r="I777" s="8">
        <f>CHOOSE( CONTROL!$C$32, 33.4992, 33.4939) * CHOOSE(CONTROL!$C$15, $D$11, 100%, $F$11)</f>
        <v>33.499200000000002</v>
      </c>
      <c r="J777" s="4">
        <f>CHOOSE( CONTROL!$C$32, 33.3703, 33.3649) * CHOOSE(CONTROL!$C$15, $D$11, 100%, $F$11)</f>
        <v>33.3703</v>
      </c>
      <c r="K777" s="4"/>
      <c r="L777" s="9">
        <v>30.7165</v>
      </c>
      <c r="M777" s="9">
        <v>12.063700000000001</v>
      </c>
      <c r="N777" s="9">
        <v>4.9444999999999997</v>
      </c>
      <c r="O777" s="9">
        <v>0.37409999999999999</v>
      </c>
      <c r="P777" s="9">
        <v>1.2183999999999999</v>
      </c>
      <c r="Q777" s="9">
        <v>19.688099999999999</v>
      </c>
      <c r="R777" s="9"/>
      <c r="S777" s="11"/>
    </row>
    <row r="778" spans="1:19" ht="15.75">
      <c r="A778" s="13">
        <v>65196</v>
      </c>
      <c r="B778" s="8">
        <f>CHOOSE( CONTROL!$C$32, 34.2288, 34.2232) * CHOOSE(CONTROL!$C$15, $D$11, 100%, $F$11)</f>
        <v>34.2288</v>
      </c>
      <c r="C778" s="8">
        <f>CHOOSE( CONTROL!$C$32, 34.2369, 34.2313) * CHOOSE(CONTROL!$C$15, $D$11, 100%, $F$11)</f>
        <v>34.236899999999999</v>
      </c>
      <c r="D778" s="8">
        <f>CHOOSE( CONTROL!$C$32, 34.263, 34.2574) * CHOOSE( CONTROL!$C$15, $D$11, 100%, $F$11)</f>
        <v>34.262999999999998</v>
      </c>
      <c r="E778" s="12">
        <f>CHOOSE( CONTROL!$C$32, 34.2523, 34.2467) * CHOOSE( CONTROL!$C$15, $D$11, 100%, $F$11)</f>
        <v>34.252299999999998</v>
      </c>
      <c r="F778" s="4">
        <f>CHOOSE( CONTROL!$C$32, 34.9412, 34.9356) * CHOOSE(CONTROL!$C$15, $D$11, 100%, $F$11)</f>
        <v>34.941200000000002</v>
      </c>
      <c r="G778" s="8">
        <f>CHOOSE( CONTROL!$C$32, 33.4173, 33.4119) * CHOOSE( CONTROL!$C$15, $D$11, 100%, $F$11)</f>
        <v>33.417299999999997</v>
      </c>
      <c r="H778" s="4">
        <f>CHOOSE( CONTROL!$C$32, 34.3619, 34.3565) * CHOOSE(CONTROL!$C$15, $D$11, 100%, $F$11)</f>
        <v>34.361899999999999</v>
      </c>
      <c r="I778" s="8">
        <f>CHOOSE( CONTROL!$C$32, 32.9633, 32.958) * CHOOSE(CONTROL!$C$15, $D$11, 100%, $F$11)</f>
        <v>32.963299999999997</v>
      </c>
      <c r="J778" s="4">
        <f>CHOOSE( CONTROL!$C$32, 32.8338, 32.8285) * CHOOSE(CONTROL!$C$15, $D$11, 100%, $F$11)</f>
        <v>32.833799999999997</v>
      </c>
      <c r="K778" s="4"/>
      <c r="L778" s="9">
        <v>29.7257</v>
      </c>
      <c r="M778" s="9">
        <v>11.6745</v>
      </c>
      <c r="N778" s="9">
        <v>4.7850000000000001</v>
      </c>
      <c r="O778" s="9">
        <v>0.36199999999999999</v>
      </c>
      <c r="P778" s="9">
        <v>1.1791</v>
      </c>
      <c r="Q778" s="9">
        <v>19.053000000000001</v>
      </c>
      <c r="R778" s="9"/>
      <c r="S778" s="11"/>
    </row>
    <row r="779" spans="1:19" ht="15.75">
      <c r="A779" s="13">
        <v>65227</v>
      </c>
      <c r="B779" s="8">
        <f>CHOOSE( CONTROL!$C$32, 35.7001, 35.6945) * CHOOSE(CONTROL!$C$15, $D$11, 100%, $F$11)</f>
        <v>35.700099999999999</v>
      </c>
      <c r="C779" s="8">
        <f>CHOOSE( CONTROL!$C$32, 35.7082, 35.7026) * CHOOSE(CONTROL!$C$15, $D$11, 100%, $F$11)</f>
        <v>35.708199999999998</v>
      </c>
      <c r="D779" s="8">
        <f>CHOOSE( CONTROL!$C$32, 35.7345, 35.729) * CHOOSE( CONTROL!$C$15, $D$11, 100%, $F$11)</f>
        <v>35.734499999999997</v>
      </c>
      <c r="E779" s="12">
        <f>CHOOSE( CONTROL!$C$32, 35.7237, 35.7182) * CHOOSE( CONTROL!$C$15, $D$11, 100%, $F$11)</f>
        <v>35.723700000000001</v>
      </c>
      <c r="F779" s="4">
        <f>CHOOSE( CONTROL!$C$32, 36.4125, 36.4069) * CHOOSE(CONTROL!$C$15, $D$11, 100%, $F$11)</f>
        <v>36.412500000000001</v>
      </c>
      <c r="G779" s="8">
        <f>CHOOSE( CONTROL!$C$32, 34.8547, 34.8492) * CHOOSE( CONTROL!$C$15, $D$11, 100%, $F$11)</f>
        <v>34.854700000000001</v>
      </c>
      <c r="H779" s="4">
        <f>CHOOSE( CONTROL!$C$32, 35.799, 35.7936) * CHOOSE(CONTROL!$C$15, $D$11, 100%, $F$11)</f>
        <v>35.798999999999999</v>
      </c>
      <c r="I779" s="8">
        <f>CHOOSE( CONTROL!$C$32, 34.3776, 34.3723) * CHOOSE(CONTROL!$C$15, $D$11, 100%, $F$11)</f>
        <v>34.377600000000001</v>
      </c>
      <c r="J779" s="4">
        <f>CHOOSE( CONTROL!$C$32, 34.2464, 34.2411) * CHOOSE(CONTROL!$C$15, $D$11, 100%, $F$11)</f>
        <v>34.246400000000001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1.2183999999999999</v>
      </c>
      <c r="Q779" s="9">
        <v>19.688099999999999</v>
      </c>
      <c r="R779" s="9"/>
      <c r="S779" s="11"/>
    </row>
    <row r="780" spans="1:19" ht="15.75">
      <c r="A780" s="13">
        <v>65258</v>
      </c>
      <c r="B780" s="8">
        <f>CHOOSE( CONTROL!$C$32, 32.9471, 32.9415) * CHOOSE(CONTROL!$C$15, $D$11, 100%, $F$11)</f>
        <v>32.947099999999999</v>
      </c>
      <c r="C780" s="8">
        <f>CHOOSE( CONTROL!$C$32, 32.9552, 32.9496) * CHOOSE(CONTROL!$C$15, $D$11, 100%, $F$11)</f>
        <v>32.955199999999998</v>
      </c>
      <c r="D780" s="8">
        <f>CHOOSE( CONTROL!$C$32, 32.9816, 32.976) * CHOOSE( CONTROL!$C$15, $D$11, 100%, $F$11)</f>
        <v>32.9816</v>
      </c>
      <c r="E780" s="12">
        <f>CHOOSE( CONTROL!$C$32, 32.9708, 32.9652) * CHOOSE( CONTROL!$C$15, $D$11, 100%, $F$11)</f>
        <v>32.970799999999997</v>
      </c>
      <c r="F780" s="4">
        <f>CHOOSE( CONTROL!$C$32, 33.6595, 33.6539) * CHOOSE(CONTROL!$C$15, $D$11, 100%, $F$11)</f>
        <v>33.659500000000001</v>
      </c>
      <c r="G780" s="8">
        <f>CHOOSE( CONTROL!$C$32, 32.1659, 32.1605) * CHOOSE( CONTROL!$C$15, $D$11, 100%, $F$11)</f>
        <v>32.165900000000001</v>
      </c>
      <c r="H780" s="4">
        <f>CHOOSE( CONTROL!$C$32, 33.1101, 33.1047) * CHOOSE(CONTROL!$C$15, $D$11, 100%, $F$11)</f>
        <v>33.110100000000003</v>
      </c>
      <c r="I780" s="8">
        <f>CHOOSE( CONTROL!$C$32, 31.7334, 31.7281) * CHOOSE(CONTROL!$C$15, $D$11, 100%, $F$11)</f>
        <v>31.7334</v>
      </c>
      <c r="J780" s="4">
        <f>CHOOSE( CONTROL!$C$32, 31.6033, 31.5979) * CHOOSE(CONTROL!$C$15, $D$11, 100%, $F$11)</f>
        <v>31.603300000000001</v>
      </c>
      <c r="K780" s="4"/>
      <c r="L780" s="9">
        <v>30.7165</v>
      </c>
      <c r="M780" s="9">
        <v>12.063700000000001</v>
      </c>
      <c r="N780" s="9">
        <v>4.9444999999999997</v>
      </c>
      <c r="O780" s="9">
        <v>0.37409999999999999</v>
      </c>
      <c r="P780" s="9">
        <v>1.2183999999999999</v>
      </c>
      <c r="Q780" s="9">
        <v>19.688099999999999</v>
      </c>
      <c r="R780" s="9"/>
      <c r="S780" s="11"/>
    </row>
    <row r="781" spans="1:19" ht="15.75">
      <c r="A781" s="13">
        <v>65288</v>
      </c>
      <c r="B781" s="8">
        <f>CHOOSE( CONTROL!$C$32, 32.2577, 32.2521) * CHOOSE(CONTROL!$C$15, $D$11, 100%, $F$11)</f>
        <v>32.2577</v>
      </c>
      <c r="C781" s="8">
        <f>CHOOSE( CONTROL!$C$32, 32.2658, 32.2602) * CHOOSE(CONTROL!$C$15, $D$11, 100%, $F$11)</f>
        <v>32.265799999999999</v>
      </c>
      <c r="D781" s="8">
        <f>CHOOSE( CONTROL!$C$32, 32.2921, 32.2866) * CHOOSE( CONTROL!$C$15, $D$11, 100%, $F$11)</f>
        <v>32.292099999999998</v>
      </c>
      <c r="E781" s="12">
        <f>CHOOSE( CONTROL!$C$32, 32.2813, 32.2758) * CHOOSE( CONTROL!$C$15, $D$11, 100%, $F$11)</f>
        <v>32.281300000000002</v>
      </c>
      <c r="F781" s="4">
        <f>CHOOSE( CONTROL!$C$32, 32.9701, 32.9645) * CHOOSE(CONTROL!$C$15, $D$11, 100%, $F$11)</f>
        <v>32.970100000000002</v>
      </c>
      <c r="G781" s="8">
        <f>CHOOSE( CONTROL!$C$32, 31.4925, 31.4871) * CHOOSE( CONTROL!$C$15, $D$11, 100%, $F$11)</f>
        <v>31.4925</v>
      </c>
      <c r="H781" s="4">
        <f>CHOOSE( CONTROL!$C$32, 32.4368, 32.4314) * CHOOSE(CONTROL!$C$15, $D$11, 100%, $F$11)</f>
        <v>32.436799999999998</v>
      </c>
      <c r="I781" s="8">
        <f>CHOOSE( CONTROL!$C$32, 31.071, 31.0656) * CHOOSE(CONTROL!$C$15, $D$11, 100%, $F$11)</f>
        <v>31.071000000000002</v>
      </c>
      <c r="J781" s="4">
        <f>CHOOSE( CONTROL!$C$32, 30.9414, 30.9361) * CHOOSE(CONTROL!$C$15, $D$11, 100%, $F$11)</f>
        <v>30.941400000000002</v>
      </c>
      <c r="K781" s="4"/>
      <c r="L781" s="9">
        <v>29.7257</v>
      </c>
      <c r="M781" s="9">
        <v>11.6745</v>
      </c>
      <c r="N781" s="9">
        <v>4.7850000000000001</v>
      </c>
      <c r="O781" s="9">
        <v>0.36199999999999999</v>
      </c>
      <c r="P781" s="9">
        <v>1.1791</v>
      </c>
      <c r="Q781" s="9">
        <v>19.053000000000001</v>
      </c>
      <c r="R781" s="9"/>
      <c r="S781" s="11"/>
    </row>
    <row r="782" spans="1:19" ht="15.75">
      <c r="A782" s="13">
        <v>65319</v>
      </c>
      <c r="B782" s="8">
        <f>33.6818 * CHOOSE(CONTROL!$C$15, $D$11, 100%, $F$11)</f>
        <v>33.681800000000003</v>
      </c>
      <c r="C782" s="8">
        <f>33.6873 * CHOOSE(CONTROL!$C$15, $D$11, 100%, $F$11)</f>
        <v>33.6873</v>
      </c>
      <c r="D782" s="8">
        <f>33.7184 * CHOOSE( CONTROL!$C$15, $D$11, 100%, $F$11)</f>
        <v>33.718400000000003</v>
      </c>
      <c r="E782" s="12">
        <f>33.7075 * CHOOSE( CONTROL!$C$15, $D$11, 100%, $F$11)</f>
        <v>33.707500000000003</v>
      </c>
      <c r="F782" s="4">
        <f>34.3959 * CHOOSE(CONTROL!$C$15, $D$11, 100%, $F$11)</f>
        <v>34.395899999999997</v>
      </c>
      <c r="G782" s="8">
        <f>32.8842 * CHOOSE( CONTROL!$C$15, $D$11, 100%, $F$11)</f>
        <v>32.8842</v>
      </c>
      <c r="H782" s="4">
        <f>33.8294 * CHOOSE(CONTROL!$C$15, $D$11, 100%, $F$11)</f>
        <v>33.8294</v>
      </c>
      <c r="I782" s="8">
        <f>32.4415 * CHOOSE(CONTROL!$C$15, $D$11, 100%, $F$11)</f>
        <v>32.441499999999998</v>
      </c>
      <c r="J782" s="4">
        <f>32.3103 * CHOOSE(CONTROL!$C$15, $D$11, 100%, $F$11)</f>
        <v>32.310299999999998</v>
      </c>
      <c r="K782" s="4"/>
      <c r="L782" s="9">
        <v>31.095300000000002</v>
      </c>
      <c r="M782" s="9">
        <v>12.063700000000001</v>
      </c>
      <c r="N782" s="9">
        <v>4.9444999999999997</v>
      </c>
      <c r="O782" s="9">
        <v>0.37409999999999999</v>
      </c>
      <c r="P782" s="9">
        <v>1.2183999999999999</v>
      </c>
      <c r="Q782" s="9">
        <v>19.688099999999999</v>
      </c>
      <c r="R782" s="9"/>
      <c r="S782" s="11"/>
    </row>
    <row r="783" spans="1:19" ht="15.75">
      <c r="A783" s="13">
        <v>65349</v>
      </c>
      <c r="B783" s="8">
        <f>36.3235 * CHOOSE(CONTROL!$C$15, $D$11, 100%, $F$11)</f>
        <v>36.323500000000003</v>
      </c>
      <c r="C783" s="8">
        <f>36.3287 * CHOOSE(CONTROL!$C$15, $D$11, 100%, $F$11)</f>
        <v>36.328699999999998</v>
      </c>
      <c r="D783" s="8">
        <f>36.3149 * CHOOSE( CONTROL!$C$15, $D$11, 100%, $F$11)</f>
        <v>36.314900000000002</v>
      </c>
      <c r="E783" s="12">
        <f>36.3194 * CHOOSE( CONTROL!$C$15, $D$11, 100%, $F$11)</f>
        <v>36.319400000000002</v>
      </c>
      <c r="F783" s="4">
        <f>36.974 * CHOOSE(CONTROL!$C$15, $D$11, 100%, $F$11)</f>
        <v>36.973999999999997</v>
      </c>
      <c r="G783" s="8">
        <f>35.4724 * CHOOSE( CONTROL!$C$15, $D$11, 100%, $F$11)</f>
        <v>35.4724</v>
      </c>
      <c r="H783" s="4">
        <f>36.3474 * CHOOSE(CONTROL!$C$15, $D$11, 100%, $F$11)</f>
        <v>36.3474</v>
      </c>
      <c r="I783" s="8">
        <f>35.023 * CHOOSE(CONTROL!$C$15, $D$11, 100%, $F$11)</f>
        <v>35.023000000000003</v>
      </c>
      <c r="J783" s="4">
        <f>34.847 * CHOOSE(CONTROL!$C$15, $D$11, 100%, $F$11)</f>
        <v>34.847000000000001</v>
      </c>
      <c r="K783" s="4"/>
      <c r="L783" s="9">
        <v>28.360600000000002</v>
      </c>
      <c r="M783" s="9">
        <v>11.6745</v>
      </c>
      <c r="N783" s="9">
        <v>4.7850000000000001</v>
      </c>
      <c r="O783" s="9">
        <v>0.36199999999999999</v>
      </c>
      <c r="P783" s="9">
        <v>1.2509999999999999</v>
      </c>
      <c r="Q783" s="9">
        <v>19.053000000000001</v>
      </c>
      <c r="R783" s="9"/>
      <c r="S783" s="11"/>
    </row>
    <row r="784" spans="1:19" ht="15.75">
      <c r="A784" s="13">
        <v>65380</v>
      </c>
      <c r="B784" s="8">
        <f>36.2575 * CHOOSE(CONTROL!$C$15, $D$11, 100%, $F$11)</f>
        <v>36.2575</v>
      </c>
      <c r="C784" s="8">
        <f>36.2627 * CHOOSE(CONTROL!$C$15, $D$11, 100%, $F$11)</f>
        <v>36.262700000000002</v>
      </c>
      <c r="D784" s="8">
        <f>36.2504 * CHOOSE( CONTROL!$C$15, $D$11, 100%, $F$11)</f>
        <v>36.250399999999999</v>
      </c>
      <c r="E784" s="12">
        <f>36.2543 * CHOOSE( CONTROL!$C$15, $D$11, 100%, $F$11)</f>
        <v>36.254300000000001</v>
      </c>
      <c r="F784" s="4">
        <f>36.9079 * CHOOSE(CONTROL!$C$15, $D$11, 100%, $F$11)</f>
        <v>36.907899999999998</v>
      </c>
      <c r="G784" s="8">
        <f>35.409 * CHOOSE( CONTROL!$C$15, $D$11, 100%, $F$11)</f>
        <v>35.408999999999999</v>
      </c>
      <c r="H784" s="4">
        <f>36.2829 * CHOOSE(CONTROL!$C$15, $D$11, 100%, $F$11)</f>
        <v>36.282899999999998</v>
      </c>
      <c r="I784" s="8">
        <f>34.9644 * CHOOSE(CONTROL!$C$15, $D$11, 100%, $F$11)</f>
        <v>34.964399999999998</v>
      </c>
      <c r="J784" s="4">
        <f>34.7836 * CHOOSE(CONTROL!$C$15, $D$11, 100%, $F$11)</f>
        <v>34.7836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65411</v>
      </c>
      <c r="B785" s="8">
        <f>37.6421 * CHOOSE(CONTROL!$C$15, $D$11, 100%, $F$11)</f>
        <v>37.642099999999999</v>
      </c>
      <c r="C785" s="8">
        <f>37.6473 * CHOOSE(CONTROL!$C$15, $D$11, 100%, $F$11)</f>
        <v>37.647300000000001</v>
      </c>
      <c r="D785" s="8">
        <f>37.6298 * CHOOSE( CONTROL!$C$15, $D$11, 100%, $F$11)</f>
        <v>37.629800000000003</v>
      </c>
      <c r="E785" s="12">
        <f>37.6356 * CHOOSE( CONTROL!$C$15, $D$11, 100%, $F$11)</f>
        <v>37.635599999999997</v>
      </c>
      <c r="F785" s="4">
        <f>38.2926 * CHOOSE(CONTROL!$C$15, $D$11, 100%, $F$11)</f>
        <v>38.2926</v>
      </c>
      <c r="G785" s="8">
        <f>36.7513 * CHOOSE( CONTROL!$C$15, $D$11, 100%, $F$11)</f>
        <v>36.751300000000001</v>
      </c>
      <c r="H785" s="4">
        <f>37.6353 * CHOOSE(CONTROL!$C$15, $D$11, 100%, $F$11)</f>
        <v>37.635300000000001</v>
      </c>
      <c r="I785" s="8">
        <f>36.2543 * CHOOSE(CONTROL!$C$15, $D$11, 100%, $F$11)</f>
        <v>36.254300000000001</v>
      </c>
      <c r="J785" s="4">
        <f>36.113 * CHOOSE(CONTROL!$C$15, $D$11, 100%, $F$11)</f>
        <v>36.113</v>
      </c>
      <c r="K785" s="4"/>
      <c r="L785" s="9">
        <v>29.306000000000001</v>
      </c>
      <c r="M785" s="9">
        <v>12.063700000000001</v>
      </c>
      <c r="N785" s="9">
        <v>4.9444999999999997</v>
      </c>
      <c r="O785" s="9">
        <v>0.37409999999999999</v>
      </c>
      <c r="P785" s="9">
        <v>1.2927</v>
      </c>
      <c r="Q785" s="9">
        <v>19.688099999999999</v>
      </c>
      <c r="R785" s="9"/>
      <c r="S785" s="11"/>
    </row>
    <row r="786" spans="1:19" ht="15.75">
      <c r="A786" s="13">
        <v>65439</v>
      </c>
      <c r="B786" s="8">
        <f>35.2105 * CHOOSE(CONTROL!$C$15, $D$11, 100%, $F$11)</f>
        <v>35.210500000000003</v>
      </c>
      <c r="C786" s="8">
        <f>35.2157 * CHOOSE(CONTROL!$C$15, $D$11, 100%, $F$11)</f>
        <v>35.215699999999998</v>
      </c>
      <c r="D786" s="8">
        <f>35.198 * CHOOSE( CONTROL!$C$15, $D$11, 100%, $F$11)</f>
        <v>35.198</v>
      </c>
      <c r="E786" s="12">
        <f>35.2039 * CHOOSE( CONTROL!$C$15, $D$11, 100%, $F$11)</f>
        <v>35.203899999999997</v>
      </c>
      <c r="F786" s="4">
        <f>35.8609 * CHOOSE(CONTROL!$C$15, $D$11, 100%, $F$11)</f>
        <v>35.860900000000001</v>
      </c>
      <c r="G786" s="8">
        <f>34.3763 * CHOOSE( CONTROL!$C$15, $D$11, 100%, $F$11)</f>
        <v>34.376300000000001</v>
      </c>
      <c r="H786" s="4">
        <f>35.2603 * CHOOSE(CONTROL!$C$15, $D$11, 100%, $F$11)</f>
        <v>35.260300000000001</v>
      </c>
      <c r="I786" s="8">
        <f>33.9183 * CHOOSE(CONTROL!$C$15, $D$11, 100%, $F$11)</f>
        <v>33.918300000000002</v>
      </c>
      <c r="J786" s="4">
        <f>33.7784 * CHOOSE(CONTROL!$C$15, $D$11, 100%, $F$11)</f>
        <v>33.778399999999998</v>
      </c>
      <c r="K786" s="4"/>
      <c r="L786" s="9">
        <v>26.469899999999999</v>
      </c>
      <c r="M786" s="9">
        <v>10.8962</v>
      </c>
      <c r="N786" s="9">
        <v>4.4660000000000002</v>
      </c>
      <c r="O786" s="9">
        <v>0.33789999999999998</v>
      </c>
      <c r="P786" s="9">
        <v>1.1676</v>
      </c>
      <c r="Q786" s="9">
        <v>17.782800000000002</v>
      </c>
      <c r="R786" s="9"/>
      <c r="S786" s="11"/>
    </row>
    <row r="787" spans="1:19" ht="15.75">
      <c r="A787" s="13">
        <v>65470</v>
      </c>
      <c r="B787" s="8">
        <f>34.4615 * CHOOSE(CONTROL!$C$15, $D$11, 100%, $F$11)</f>
        <v>34.461500000000001</v>
      </c>
      <c r="C787" s="8">
        <f>34.4667 * CHOOSE(CONTROL!$C$15, $D$11, 100%, $F$11)</f>
        <v>34.466700000000003</v>
      </c>
      <c r="D787" s="8">
        <f>34.4487 * CHOOSE( CONTROL!$C$15, $D$11, 100%, $F$11)</f>
        <v>34.448700000000002</v>
      </c>
      <c r="E787" s="12">
        <f>34.4547 * CHOOSE( CONTROL!$C$15, $D$11, 100%, $F$11)</f>
        <v>34.454700000000003</v>
      </c>
      <c r="F787" s="4">
        <f>35.112 * CHOOSE(CONTROL!$C$15, $D$11, 100%, $F$11)</f>
        <v>35.112000000000002</v>
      </c>
      <c r="G787" s="8">
        <f>33.6445 * CHOOSE( CONTROL!$C$15, $D$11, 100%, $F$11)</f>
        <v>33.644500000000001</v>
      </c>
      <c r="H787" s="4">
        <f>34.5288 * CHOOSE(CONTROL!$C$15, $D$11, 100%, $F$11)</f>
        <v>34.528799999999997</v>
      </c>
      <c r="I787" s="8">
        <f>33.1977 * CHOOSE(CONTROL!$C$15, $D$11, 100%, $F$11)</f>
        <v>33.197699999999998</v>
      </c>
      <c r="J787" s="4">
        <f>33.0593 * CHOOSE(CONTROL!$C$15, $D$11, 100%, $F$11)</f>
        <v>33.0593</v>
      </c>
      <c r="K787" s="4"/>
      <c r="L787" s="9">
        <v>29.306000000000001</v>
      </c>
      <c r="M787" s="9">
        <v>12.063700000000001</v>
      </c>
      <c r="N787" s="9">
        <v>4.9444999999999997</v>
      </c>
      <c r="O787" s="9">
        <v>0.37409999999999999</v>
      </c>
      <c r="P787" s="9">
        <v>1.2927</v>
      </c>
      <c r="Q787" s="9">
        <v>19.688099999999999</v>
      </c>
      <c r="R787" s="9"/>
      <c r="S787" s="11"/>
    </row>
    <row r="788" spans="1:19" ht="15.75">
      <c r="A788" s="13">
        <v>65500</v>
      </c>
      <c r="B788" s="8">
        <f>34.9856 * CHOOSE(CONTROL!$C$15, $D$11, 100%, $F$11)</f>
        <v>34.985599999999998</v>
      </c>
      <c r="C788" s="8">
        <f>34.9902 * CHOOSE(CONTROL!$C$15, $D$11, 100%, $F$11)</f>
        <v>34.990200000000002</v>
      </c>
      <c r="D788" s="8">
        <f>35.0214 * CHOOSE( CONTROL!$C$15, $D$11, 100%, $F$11)</f>
        <v>35.0214</v>
      </c>
      <c r="E788" s="12">
        <f>35.0106 * CHOOSE( CONTROL!$C$15, $D$11, 100%, $F$11)</f>
        <v>35.010599999999997</v>
      </c>
      <c r="F788" s="4">
        <f>35.6994 * CHOOSE(CONTROL!$C$15, $D$11, 100%, $F$11)</f>
        <v>35.699399999999997</v>
      </c>
      <c r="G788" s="8">
        <f>34.1565 * CHOOSE( CONTROL!$C$15, $D$11, 100%, $F$11)</f>
        <v>34.156500000000001</v>
      </c>
      <c r="H788" s="4">
        <f>35.1025 * CHOOSE(CONTROL!$C$15, $D$11, 100%, $F$11)</f>
        <v>35.102499999999999</v>
      </c>
      <c r="I788" s="8">
        <f>33.6909 * CHOOSE(CONTROL!$C$15, $D$11, 100%, $F$11)</f>
        <v>33.690899999999999</v>
      </c>
      <c r="J788" s="4">
        <f>33.5618 * CHOOSE(CONTROL!$C$15, $D$11, 100%, $F$11)</f>
        <v>33.561799999999998</v>
      </c>
      <c r="K788" s="4"/>
      <c r="L788" s="9">
        <v>30.092199999999998</v>
      </c>
      <c r="M788" s="9">
        <v>11.6745</v>
      </c>
      <c r="N788" s="9">
        <v>4.7850000000000001</v>
      </c>
      <c r="O788" s="9">
        <v>0.36199999999999999</v>
      </c>
      <c r="P788" s="9">
        <v>1.1791</v>
      </c>
      <c r="Q788" s="9">
        <v>19.053000000000001</v>
      </c>
      <c r="R788" s="9"/>
      <c r="S788" s="11"/>
    </row>
    <row r="789" spans="1:19" ht="15.75">
      <c r="A789" s="13">
        <v>65531</v>
      </c>
      <c r="B789" s="8">
        <f>CHOOSE( CONTROL!$C$32, 35.924, 35.9184) * CHOOSE(CONTROL!$C$15, $D$11, 100%, $F$11)</f>
        <v>35.923999999999999</v>
      </c>
      <c r="C789" s="8">
        <f>CHOOSE( CONTROL!$C$32, 35.9321, 35.9265) * CHOOSE(CONTROL!$C$15, $D$11, 100%, $F$11)</f>
        <v>35.932099999999998</v>
      </c>
      <c r="D789" s="8">
        <f>CHOOSE( CONTROL!$C$32, 35.9581, 35.9525) * CHOOSE( CONTROL!$C$15, $D$11, 100%, $F$11)</f>
        <v>35.958100000000002</v>
      </c>
      <c r="E789" s="12">
        <f>CHOOSE( CONTROL!$C$32, 35.9474, 35.9418) * CHOOSE( CONTROL!$C$15, $D$11, 100%, $F$11)</f>
        <v>35.947400000000002</v>
      </c>
      <c r="F789" s="4">
        <f>CHOOSE( CONTROL!$C$32, 36.6364, 36.6308) * CHOOSE(CONTROL!$C$15, $D$11, 100%, $F$11)</f>
        <v>36.636400000000002</v>
      </c>
      <c r="G789" s="8">
        <f>CHOOSE( CONTROL!$C$32, 35.0728, 35.0674) * CHOOSE( CONTROL!$C$15, $D$11, 100%, $F$11)</f>
        <v>35.072800000000001</v>
      </c>
      <c r="H789" s="4">
        <f>CHOOSE( CONTROL!$C$32, 36.0177, 36.0122) * CHOOSE(CONTROL!$C$15, $D$11, 100%, $F$11)</f>
        <v>36.017699999999998</v>
      </c>
      <c r="I789" s="8">
        <f>CHOOSE( CONTROL!$C$32, 34.5909, 34.5856) * CHOOSE(CONTROL!$C$15, $D$11, 100%, $F$11)</f>
        <v>34.590899999999998</v>
      </c>
      <c r="J789" s="4">
        <f>CHOOSE( CONTROL!$C$32, 34.4614, 34.4561) * CHOOSE(CONTROL!$C$15, $D$11, 100%, $F$11)</f>
        <v>34.461399999999998</v>
      </c>
      <c r="K789" s="4"/>
      <c r="L789" s="9">
        <v>30.7165</v>
      </c>
      <c r="M789" s="9">
        <v>12.063700000000001</v>
      </c>
      <c r="N789" s="9">
        <v>4.9444999999999997</v>
      </c>
      <c r="O789" s="9">
        <v>0.37409999999999999</v>
      </c>
      <c r="P789" s="9">
        <v>1.2183999999999999</v>
      </c>
      <c r="Q789" s="9">
        <v>19.688099999999999</v>
      </c>
      <c r="R789" s="9"/>
      <c r="S789" s="11"/>
    </row>
    <row r="790" spans="1:19" ht="15.75">
      <c r="A790" s="13">
        <v>65561</v>
      </c>
      <c r="B790" s="8">
        <f>CHOOSE( CONTROL!$C$32, 35.347, 35.3414) * CHOOSE(CONTROL!$C$15, $D$11, 100%, $F$11)</f>
        <v>35.347000000000001</v>
      </c>
      <c r="C790" s="8">
        <f>CHOOSE( CONTROL!$C$32, 35.3551, 35.3495) * CHOOSE(CONTROL!$C$15, $D$11, 100%, $F$11)</f>
        <v>35.3551</v>
      </c>
      <c r="D790" s="8">
        <f>CHOOSE( CONTROL!$C$32, 35.3812, 35.3757) * CHOOSE( CONTROL!$C$15, $D$11, 100%, $F$11)</f>
        <v>35.3812</v>
      </c>
      <c r="E790" s="12">
        <f>CHOOSE( CONTROL!$C$32, 35.3705, 35.365) * CHOOSE( CONTROL!$C$15, $D$11, 100%, $F$11)</f>
        <v>35.3705</v>
      </c>
      <c r="F790" s="4">
        <f>CHOOSE( CONTROL!$C$32, 36.0594, 36.0538) * CHOOSE(CONTROL!$C$15, $D$11, 100%, $F$11)</f>
        <v>36.059399999999997</v>
      </c>
      <c r="G790" s="8">
        <f>CHOOSE( CONTROL!$C$32, 34.5095, 34.5041) * CHOOSE( CONTROL!$C$15, $D$11, 100%, $F$11)</f>
        <v>34.509500000000003</v>
      </c>
      <c r="H790" s="4">
        <f>CHOOSE( CONTROL!$C$32, 35.4541, 35.4487) * CHOOSE(CONTROL!$C$15, $D$11, 100%, $F$11)</f>
        <v>35.454099999999997</v>
      </c>
      <c r="I790" s="8">
        <f>CHOOSE( CONTROL!$C$32, 34.0375, 34.0321) * CHOOSE(CONTROL!$C$15, $D$11, 100%, $F$11)</f>
        <v>34.037500000000001</v>
      </c>
      <c r="J790" s="4">
        <f>CHOOSE( CONTROL!$C$32, 33.9074, 33.9021) * CHOOSE(CONTROL!$C$15, $D$11, 100%, $F$11)</f>
        <v>33.907400000000003</v>
      </c>
      <c r="K790" s="4"/>
      <c r="L790" s="9">
        <v>29.7257</v>
      </c>
      <c r="M790" s="9">
        <v>11.6745</v>
      </c>
      <c r="N790" s="9">
        <v>4.7850000000000001</v>
      </c>
      <c r="O790" s="9">
        <v>0.36199999999999999</v>
      </c>
      <c r="P790" s="9">
        <v>1.1791</v>
      </c>
      <c r="Q790" s="9">
        <v>19.053000000000001</v>
      </c>
      <c r="R790" s="9"/>
      <c r="S790" s="11"/>
    </row>
    <row r="791" spans="1:19" ht="15.75">
      <c r="A791" s="13">
        <v>65592</v>
      </c>
      <c r="B791" s="8">
        <f>CHOOSE( CONTROL!$C$32, 36.8665, 36.8609) * CHOOSE(CONTROL!$C$15, $D$11, 100%, $F$11)</f>
        <v>36.866500000000002</v>
      </c>
      <c r="C791" s="8">
        <f>CHOOSE( CONTROL!$C$32, 36.8745, 36.869) * CHOOSE(CONTROL!$C$15, $D$11, 100%, $F$11)</f>
        <v>36.874499999999998</v>
      </c>
      <c r="D791" s="8">
        <f>CHOOSE( CONTROL!$C$32, 36.9009, 36.8953) * CHOOSE( CONTROL!$C$15, $D$11, 100%, $F$11)</f>
        <v>36.9009</v>
      </c>
      <c r="E791" s="12">
        <f>CHOOSE( CONTROL!$C$32, 36.8901, 36.8845) * CHOOSE( CONTROL!$C$15, $D$11, 100%, $F$11)</f>
        <v>36.890099999999997</v>
      </c>
      <c r="F791" s="4">
        <f>CHOOSE( CONTROL!$C$32, 37.5788, 37.5733) * CHOOSE(CONTROL!$C$15, $D$11, 100%, $F$11)</f>
        <v>37.578800000000001</v>
      </c>
      <c r="G791" s="8">
        <f>CHOOSE( CONTROL!$C$32, 35.9939, 35.9884) * CHOOSE( CONTROL!$C$15, $D$11, 100%, $F$11)</f>
        <v>35.993899999999996</v>
      </c>
      <c r="H791" s="4">
        <f>CHOOSE( CONTROL!$C$32, 36.9382, 36.9327) * CHOOSE(CONTROL!$C$15, $D$11, 100%, $F$11)</f>
        <v>36.938200000000002</v>
      </c>
      <c r="I791" s="8">
        <f>CHOOSE( CONTROL!$C$32, 35.498, 35.4926) * CHOOSE(CONTROL!$C$15, $D$11, 100%, $F$11)</f>
        <v>35.497999999999998</v>
      </c>
      <c r="J791" s="4">
        <f>CHOOSE( CONTROL!$C$32, 35.3663, 35.3609) * CHOOSE(CONTROL!$C$15, $D$11, 100%, $F$11)</f>
        <v>35.366300000000003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1.2183999999999999</v>
      </c>
      <c r="Q791" s="9">
        <v>19.688099999999999</v>
      </c>
      <c r="R791" s="9"/>
      <c r="S791" s="11"/>
    </row>
    <row r="792" spans="1:19" ht="15.75">
      <c r="A792" s="13">
        <v>65623</v>
      </c>
      <c r="B792" s="8">
        <f>CHOOSE( CONTROL!$C$32, 34.0234, 34.0178) * CHOOSE(CONTROL!$C$15, $D$11, 100%, $F$11)</f>
        <v>34.023400000000002</v>
      </c>
      <c r="C792" s="8">
        <f>CHOOSE( CONTROL!$C$32, 34.0315, 34.0259) * CHOOSE(CONTROL!$C$15, $D$11, 100%, $F$11)</f>
        <v>34.031500000000001</v>
      </c>
      <c r="D792" s="8">
        <f>CHOOSE( CONTROL!$C$32, 34.0579, 34.0523) * CHOOSE( CONTROL!$C$15, $D$11, 100%, $F$11)</f>
        <v>34.057899999999997</v>
      </c>
      <c r="E792" s="12">
        <f>CHOOSE( CONTROL!$C$32, 34.0471, 34.0415) * CHOOSE( CONTROL!$C$15, $D$11, 100%, $F$11)</f>
        <v>34.0471</v>
      </c>
      <c r="F792" s="4">
        <f>CHOOSE( CONTROL!$C$32, 34.7358, 34.7302) * CHOOSE(CONTROL!$C$15, $D$11, 100%, $F$11)</f>
        <v>34.735799999999998</v>
      </c>
      <c r="G792" s="8">
        <f>CHOOSE( CONTROL!$C$32, 33.2171, 33.2117) * CHOOSE( CONTROL!$C$15, $D$11, 100%, $F$11)</f>
        <v>33.217100000000002</v>
      </c>
      <c r="H792" s="4">
        <f>CHOOSE( CONTROL!$C$32, 34.1614, 34.1559) * CHOOSE(CONTROL!$C$15, $D$11, 100%, $F$11)</f>
        <v>34.1614</v>
      </c>
      <c r="I792" s="8">
        <f>CHOOSE( CONTROL!$C$32, 32.7673, 32.7619) * CHOOSE(CONTROL!$C$15, $D$11, 100%, $F$11)</f>
        <v>32.767299999999999</v>
      </c>
      <c r="J792" s="4">
        <f>CHOOSE( CONTROL!$C$32, 32.6367, 32.6313) * CHOOSE(CONTROL!$C$15, $D$11, 100%, $F$11)</f>
        <v>32.636699999999998</v>
      </c>
      <c r="K792" s="4"/>
      <c r="L792" s="9">
        <v>30.7165</v>
      </c>
      <c r="M792" s="9">
        <v>12.063700000000001</v>
      </c>
      <c r="N792" s="9">
        <v>4.9444999999999997</v>
      </c>
      <c r="O792" s="9">
        <v>0.37409999999999999</v>
      </c>
      <c r="P792" s="9">
        <v>1.2183999999999999</v>
      </c>
      <c r="Q792" s="9">
        <v>19.688099999999999</v>
      </c>
      <c r="R792" s="9"/>
      <c r="S792" s="11"/>
    </row>
    <row r="793" spans="1:19" ht="15.75">
      <c r="A793" s="13">
        <v>65653</v>
      </c>
      <c r="B793" s="8">
        <f>CHOOSE( CONTROL!$C$32, 33.3115, 33.3059) * CHOOSE(CONTROL!$C$15, $D$11, 100%, $F$11)</f>
        <v>33.311500000000002</v>
      </c>
      <c r="C793" s="8">
        <f>CHOOSE( CONTROL!$C$32, 33.3196, 33.314) * CHOOSE(CONTROL!$C$15, $D$11, 100%, $F$11)</f>
        <v>33.319600000000001</v>
      </c>
      <c r="D793" s="8">
        <f>CHOOSE( CONTROL!$C$32, 33.3459, 33.3403) * CHOOSE( CONTROL!$C$15, $D$11, 100%, $F$11)</f>
        <v>33.3459</v>
      </c>
      <c r="E793" s="12">
        <f>CHOOSE( CONTROL!$C$32, 33.3351, 33.3295) * CHOOSE( CONTROL!$C$15, $D$11, 100%, $F$11)</f>
        <v>33.335099999999997</v>
      </c>
      <c r="F793" s="4">
        <f>CHOOSE( CONTROL!$C$32, 34.0239, 34.0183) * CHOOSE(CONTROL!$C$15, $D$11, 100%, $F$11)</f>
        <v>34.023899999999998</v>
      </c>
      <c r="G793" s="8">
        <f>CHOOSE( CONTROL!$C$32, 32.5217, 32.5163) * CHOOSE( CONTROL!$C$15, $D$11, 100%, $F$11)</f>
        <v>32.521700000000003</v>
      </c>
      <c r="H793" s="4">
        <f>CHOOSE( CONTROL!$C$32, 33.466, 33.4606) * CHOOSE(CONTROL!$C$15, $D$11, 100%, $F$11)</f>
        <v>33.466000000000001</v>
      </c>
      <c r="I793" s="8">
        <f>CHOOSE( CONTROL!$C$32, 32.0832, 32.0778) * CHOOSE(CONTROL!$C$15, $D$11, 100%, $F$11)</f>
        <v>32.083199999999998</v>
      </c>
      <c r="J793" s="4">
        <f>CHOOSE( CONTROL!$C$32, 31.9531, 31.9478) * CHOOSE(CONTROL!$C$15, $D$11, 100%, $F$11)</f>
        <v>31.953099999999999</v>
      </c>
      <c r="K793" s="4"/>
      <c r="L793" s="9">
        <v>29.7257</v>
      </c>
      <c r="M793" s="9">
        <v>11.6745</v>
      </c>
      <c r="N793" s="9">
        <v>4.7850000000000001</v>
      </c>
      <c r="O793" s="9">
        <v>0.36199999999999999</v>
      </c>
      <c r="P793" s="9">
        <v>1.1791</v>
      </c>
      <c r="Q793" s="9">
        <v>19.053000000000001</v>
      </c>
      <c r="R793" s="9"/>
      <c r="S793" s="11"/>
    </row>
    <row r="794" spans="1:19" ht="15.75">
      <c r="A794" s="13">
        <v>65684</v>
      </c>
      <c r="B794" s="8">
        <f>34.7824 * CHOOSE(CONTROL!$C$15, $D$11, 100%, $F$11)</f>
        <v>34.782400000000003</v>
      </c>
      <c r="C794" s="8">
        <f>34.7878 * CHOOSE(CONTROL!$C$15, $D$11, 100%, $F$11)</f>
        <v>34.787799999999997</v>
      </c>
      <c r="D794" s="8">
        <f>34.819 * CHOOSE( CONTROL!$C$15, $D$11, 100%, $F$11)</f>
        <v>34.819000000000003</v>
      </c>
      <c r="E794" s="12">
        <f>34.8081 * CHOOSE( CONTROL!$C$15, $D$11, 100%, $F$11)</f>
        <v>34.808100000000003</v>
      </c>
      <c r="F794" s="4">
        <f>35.4965 * CHOOSE(CONTROL!$C$15, $D$11, 100%, $F$11)</f>
        <v>35.496499999999997</v>
      </c>
      <c r="G794" s="8">
        <f>33.9592 * CHOOSE( CONTROL!$C$15, $D$11, 100%, $F$11)</f>
        <v>33.959200000000003</v>
      </c>
      <c r="H794" s="4">
        <f>34.9043 * CHOOSE(CONTROL!$C$15, $D$11, 100%, $F$11)</f>
        <v>34.904299999999999</v>
      </c>
      <c r="I794" s="8">
        <f>33.4987 * CHOOSE(CONTROL!$C$15, $D$11, 100%, $F$11)</f>
        <v>33.498699999999999</v>
      </c>
      <c r="J794" s="4">
        <f>33.367 * CHOOSE(CONTROL!$C$15, $D$11, 100%, $F$11)</f>
        <v>33.366999999999997</v>
      </c>
      <c r="K794" s="4"/>
      <c r="L794" s="9">
        <v>31.095300000000002</v>
      </c>
      <c r="M794" s="9">
        <v>12.063700000000001</v>
      </c>
      <c r="N794" s="9">
        <v>4.9444999999999997</v>
      </c>
      <c r="O794" s="9">
        <v>0.37409999999999999</v>
      </c>
      <c r="P794" s="9">
        <v>1.2183999999999999</v>
      </c>
      <c r="Q794" s="9">
        <v>19.688099999999999</v>
      </c>
      <c r="R794" s="9"/>
      <c r="S794" s="11"/>
    </row>
    <row r="795" spans="1:19" ht="15.75">
      <c r="A795" s="13">
        <v>65714</v>
      </c>
      <c r="B795" s="8">
        <f>37.5105 * CHOOSE(CONTROL!$C$15, $D$11, 100%, $F$11)</f>
        <v>37.5105</v>
      </c>
      <c r="C795" s="8">
        <f>37.5157 * CHOOSE(CONTROL!$C$15, $D$11, 100%, $F$11)</f>
        <v>37.515700000000002</v>
      </c>
      <c r="D795" s="8">
        <f>37.5019 * CHOOSE( CONTROL!$C$15, $D$11, 100%, $F$11)</f>
        <v>37.501899999999999</v>
      </c>
      <c r="E795" s="12">
        <f>37.5064 * CHOOSE( CONTROL!$C$15, $D$11, 100%, $F$11)</f>
        <v>37.506399999999999</v>
      </c>
      <c r="F795" s="4">
        <f>38.1609 * CHOOSE(CONTROL!$C$15, $D$11, 100%, $F$11)</f>
        <v>38.160899999999998</v>
      </c>
      <c r="G795" s="8">
        <f>36.6317 * CHOOSE( CONTROL!$C$15, $D$11, 100%, $F$11)</f>
        <v>36.631700000000002</v>
      </c>
      <c r="H795" s="4">
        <f>37.5067 * CHOOSE(CONTROL!$C$15, $D$11, 100%, $F$11)</f>
        <v>37.506700000000002</v>
      </c>
      <c r="I795" s="8">
        <f>36.1632 * CHOOSE(CONTROL!$C$15, $D$11, 100%, $F$11)</f>
        <v>36.163200000000003</v>
      </c>
      <c r="J795" s="4">
        <f>35.9866 * CHOOSE(CONTROL!$C$15, $D$11, 100%, $F$11)</f>
        <v>35.986600000000003</v>
      </c>
      <c r="K795" s="4"/>
      <c r="L795" s="9">
        <v>28.360600000000002</v>
      </c>
      <c r="M795" s="9">
        <v>11.6745</v>
      </c>
      <c r="N795" s="9">
        <v>4.7850000000000001</v>
      </c>
      <c r="O795" s="9">
        <v>0.36199999999999999</v>
      </c>
      <c r="P795" s="9">
        <v>1.2509999999999999</v>
      </c>
      <c r="Q795" s="9">
        <v>19.053000000000001</v>
      </c>
      <c r="R795" s="9"/>
      <c r="S795" s="11"/>
    </row>
    <row r="796" spans="1:19" ht="15.75">
      <c r="A796" s="13">
        <v>65745</v>
      </c>
      <c r="B796" s="8">
        <f>37.4423 * CHOOSE(CONTROL!$C$15, $D$11, 100%, $F$11)</f>
        <v>37.442300000000003</v>
      </c>
      <c r="C796" s="8">
        <f>37.4475 * CHOOSE(CONTROL!$C$15, $D$11, 100%, $F$11)</f>
        <v>37.447499999999998</v>
      </c>
      <c r="D796" s="8">
        <f>37.4352 * CHOOSE( CONTROL!$C$15, $D$11, 100%, $F$11)</f>
        <v>37.435200000000002</v>
      </c>
      <c r="E796" s="12">
        <f>37.4391 * CHOOSE( CONTROL!$C$15, $D$11, 100%, $F$11)</f>
        <v>37.439100000000003</v>
      </c>
      <c r="F796" s="4">
        <f>38.0928 * CHOOSE(CONTROL!$C$15, $D$11, 100%, $F$11)</f>
        <v>38.092799999999997</v>
      </c>
      <c r="G796" s="8">
        <f>36.5662 * CHOOSE( CONTROL!$C$15, $D$11, 100%, $F$11)</f>
        <v>36.566200000000002</v>
      </c>
      <c r="H796" s="4">
        <f>37.4401 * CHOOSE(CONTROL!$C$15, $D$11, 100%, $F$11)</f>
        <v>37.440100000000001</v>
      </c>
      <c r="I796" s="8">
        <f>36.1025 * CHOOSE(CONTROL!$C$15, $D$11, 100%, $F$11)</f>
        <v>36.102499999999999</v>
      </c>
      <c r="J796" s="4">
        <f>35.9212 * CHOOSE(CONTROL!$C$15, $D$11, 100%, $F$11)</f>
        <v>35.921199999999999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65776</v>
      </c>
      <c r="B797" s="8">
        <f>38.8722 * CHOOSE(CONTROL!$C$15, $D$11, 100%, $F$11)</f>
        <v>38.872199999999999</v>
      </c>
      <c r="C797" s="8">
        <f>38.8774 * CHOOSE(CONTROL!$C$15, $D$11, 100%, $F$11)</f>
        <v>38.877400000000002</v>
      </c>
      <c r="D797" s="8">
        <f>38.8599 * CHOOSE( CONTROL!$C$15, $D$11, 100%, $F$11)</f>
        <v>38.859900000000003</v>
      </c>
      <c r="E797" s="12">
        <f>38.8657 * CHOOSE( CONTROL!$C$15, $D$11, 100%, $F$11)</f>
        <v>38.865699999999997</v>
      </c>
      <c r="F797" s="4">
        <f>39.5227 * CHOOSE(CONTROL!$C$15, $D$11, 100%, $F$11)</f>
        <v>39.5227</v>
      </c>
      <c r="G797" s="8">
        <f>37.9528 * CHOOSE( CONTROL!$C$15, $D$11, 100%, $F$11)</f>
        <v>37.952800000000003</v>
      </c>
      <c r="H797" s="4">
        <f>38.8368 * CHOOSE(CONTROL!$C$15, $D$11, 100%, $F$11)</f>
        <v>38.836799999999997</v>
      </c>
      <c r="I797" s="8">
        <f>37.4359 * CHOOSE(CONTROL!$C$15, $D$11, 100%, $F$11)</f>
        <v>37.435899999999997</v>
      </c>
      <c r="J797" s="4">
        <f>37.2941 * CHOOSE(CONTROL!$C$15, $D$11, 100%, $F$11)</f>
        <v>37.2941</v>
      </c>
      <c r="K797" s="4"/>
      <c r="L797" s="9">
        <v>29.306000000000001</v>
      </c>
      <c r="M797" s="9">
        <v>12.063700000000001</v>
      </c>
      <c r="N797" s="9">
        <v>4.9444999999999997</v>
      </c>
      <c r="O797" s="9">
        <v>0.37409999999999999</v>
      </c>
      <c r="P797" s="9">
        <v>1.2927</v>
      </c>
      <c r="Q797" s="9">
        <v>19.688099999999999</v>
      </c>
      <c r="R797" s="9"/>
      <c r="S797" s="11"/>
    </row>
    <row r="798" spans="1:19" ht="15.75">
      <c r="A798" s="13">
        <v>65805</v>
      </c>
      <c r="B798" s="8">
        <f>36.3611 * CHOOSE(CONTROL!$C$15, $D$11, 100%, $F$11)</f>
        <v>36.3611</v>
      </c>
      <c r="C798" s="8">
        <f>36.3662 * CHOOSE(CONTROL!$C$15, $D$11, 100%, $F$11)</f>
        <v>36.366199999999999</v>
      </c>
      <c r="D798" s="8">
        <f>36.3486 * CHOOSE( CONTROL!$C$15, $D$11, 100%, $F$11)</f>
        <v>36.348599999999998</v>
      </c>
      <c r="E798" s="12">
        <f>36.3545 * CHOOSE( CONTROL!$C$15, $D$11, 100%, $F$11)</f>
        <v>36.354500000000002</v>
      </c>
      <c r="F798" s="4">
        <f>37.0115 * CHOOSE(CONTROL!$C$15, $D$11, 100%, $F$11)</f>
        <v>37.011499999999998</v>
      </c>
      <c r="G798" s="8">
        <f>35.5001 * CHOOSE( CONTROL!$C$15, $D$11, 100%, $F$11)</f>
        <v>35.500100000000003</v>
      </c>
      <c r="H798" s="4">
        <f>36.3841 * CHOOSE(CONTROL!$C$15, $D$11, 100%, $F$11)</f>
        <v>36.384099999999997</v>
      </c>
      <c r="I798" s="8">
        <f>35.0235 * CHOOSE(CONTROL!$C$15, $D$11, 100%, $F$11)</f>
        <v>35.023499999999999</v>
      </c>
      <c r="J798" s="4">
        <f>34.8831 * CHOOSE(CONTROL!$C$15, $D$11, 100%, $F$11)</f>
        <v>34.883099999999999</v>
      </c>
      <c r="K798" s="4"/>
      <c r="L798" s="9">
        <v>27.415299999999998</v>
      </c>
      <c r="M798" s="9">
        <v>11.285299999999999</v>
      </c>
      <c r="N798" s="9">
        <v>4.6254999999999997</v>
      </c>
      <c r="O798" s="9">
        <v>0.34989999999999999</v>
      </c>
      <c r="P798" s="9">
        <v>1.2093</v>
      </c>
      <c r="Q798" s="9">
        <v>18.417899999999999</v>
      </c>
      <c r="R798" s="9"/>
      <c r="S798" s="11"/>
    </row>
    <row r="799" spans="1:19" ht="15.75">
      <c r="A799" s="13">
        <v>65836</v>
      </c>
      <c r="B799" s="8">
        <f>35.5876 * CHOOSE(CONTROL!$C$15, $D$11, 100%, $F$11)</f>
        <v>35.587600000000002</v>
      </c>
      <c r="C799" s="8">
        <f>35.5928 * CHOOSE(CONTROL!$C$15, $D$11, 100%, $F$11)</f>
        <v>35.592799999999997</v>
      </c>
      <c r="D799" s="8">
        <f>35.5748 * CHOOSE( CONTROL!$C$15, $D$11, 100%, $F$11)</f>
        <v>35.574800000000003</v>
      </c>
      <c r="E799" s="12">
        <f>35.5808 * CHOOSE( CONTROL!$C$15, $D$11, 100%, $F$11)</f>
        <v>35.580800000000004</v>
      </c>
      <c r="F799" s="4">
        <f>36.2381 * CHOOSE(CONTROL!$C$15, $D$11, 100%, $F$11)</f>
        <v>36.238100000000003</v>
      </c>
      <c r="G799" s="8">
        <f>34.7444 * CHOOSE( CONTROL!$C$15, $D$11, 100%, $F$11)</f>
        <v>34.744399999999999</v>
      </c>
      <c r="H799" s="4">
        <f>35.6286 * CHOOSE(CONTROL!$C$15, $D$11, 100%, $F$11)</f>
        <v>35.628599999999999</v>
      </c>
      <c r="I799" s="8">
        <f>34.2794 * CHOOSE(CONTROL!$C$15, $D$11, 100%, $F$11)</f>
        <v>34.279400000000003</v>
      </c>
      <c r="J799" s="4">
        <f>34.1405 * CHOOSE(CONTROL!$C$15, $D$11, 100%, $F$11)</f>
        <v>34.140500000000003</v>
      </c>
      <c r="K799" s="4"/>
      <c r="L799" s="9">
        <v>29.306000000000001</v>
      </c>
      <c r="M799" s="9">
        <v>12.063700000000001</v>
      </c>
      <c r="N799" s="9">
        <v>4.9444999999999997</v>
      </c>
      <c r="O799" s="9">
        <v>0.37409999999999999</v>
      </c>
      <c r="P799" s="9">
        <v>1.2927</v>
      </c>
      <c r="Q799" s="9">
        <v>19.688099999999999</v>
      </c>
      <c r="R799" s="9"/>
      <c r="S799" s="11"/>
    </row>
    <row r="800" spans="1:19" ht="15.75">
      <c r="A800" s="13">
        <v>65866</v>
      </c>
      <c r="B800" s="8">
        <f>36.1288 * CHOOSE(CONTROL!$C$15, $D$11, 100%, $F$11)</f>
        <v>36.128799999999998</v>
      </c>
      <c r="C800" s="8">
        <f>36.1335 * CHOOSE(CONTROL!$C$15, $D$11, 100%, $F$11)</f>
        <v>36.133499999999998</v>
      </c>
      <c r="D800" s="8">
        <f>36.1646 * CHOOSE( CONTROL!$C$15, $D$11, 100%, $F$11)</f>
        <v>36.1646</v>
      </c>
      <c r="E800" s="12">
        <f>36.1538 * CHOOSE( CONTROL!$C$15, $D$11, 100%, $F$11)</f>
        <v>36.153799999999997</v>
      </c>
      <c r="F800" s="4">
        <f>36.8426 * CHOOSE(CONTROL!$C$15, $D$11, 100%, $F$11)</f>
        <v>36.842599999999997</v>
      </c>
      <c r="G800" s="8">
        <f>35.2731 * CHOOSE( CONTROL!$C$15, $D$11, 100%, $F$11)</f>
        <v>35.273099999999999</v>
      </c>
      <c r="H800" s="4">
        <f>36.2191 * CHOOSE(CONTROL!$C$15, $D$11, 100%, $F$11)</f>
        <v>36.219099999999997</v>
      </c>
      <c r="I800" s="8">
        <f>34.7891 * CHOOSE(CONTROL!$C$15, $D$11, 100%, $F$11)</f>
        <v>34.789099999999998</v>
      </c>
      <c r="J800" s="4">
        <f>34.6594 * CHOOSE(CONTROL!$C$15, $D$11, 100%, $F$11)</f>
        <v>34.659399999999998</v>
      </c>
      <c r="K800" s="4"/>
      <c r="L800" s="9">
        <v>30.092199999999998</v>
      </c>
      <c r="M800" s="9">
        <v>11.6745</v>
      </c>
      <c r="N800" s="9">
        <v>4.7850000000000001</v>
      </c>
      <c r="O800" s="9">
        <v>0.36199999999999999</v>
      </c>
      <c r="P800" s="9">
        <v>1.1791</v>
      </c>
      <c r="Q800" s="9">
        <v>19.053000000000001</v>
      </c>
      <c r="R800" s="9"/>
      <c r="S800" s="11"/>
    </row>
    <row r="801" spans="1:19" ht="15.75">
      <c r="A801" s="13">
        <v>65897</v>
      </c>
      <c r="B801" s="8">
        <f>CHOOSE( CONTROL!$C$32, 37.0977, 37.0921) * CHOOSE(CONTROL!$C$15, $D$11, 100%, $F$11)</f>
        <v>37.097700000000003</v>
      </c>
      <c r="C801" s="8">
        <f>CHOOSE( CONTROL!$C$32, 37.1058, 37.1002) * CHOOSE(CONTROL!$C$15, $D$11, 100%, $F$11)</f>
        <v>37.105800000000002</v>
      </c>
      <c r="D801" s="8">
        <f>CHOOSE( CONTROL!$C$32, 37.1317, 37.1262) * CHOOSE( CONTROL!$C$15, $D$11, 100%, $F$11)</f>
        <v>37.131700000000002</v>
      </c>
      <c r="E801" s="12">
        <f>CHOOSE( CONTROL!$C$32, 37.1211, 37.1155) * CHOOSE( CONTROL!$C$15, $D$11, 100%, $F$11)</f>
        <v>37.121099999999998</v>
      </c>
      <c r="F801" s="4">
        <f>CHOOSE( CONTROL!$C$32, 37.8101, 37.8045) * CHOOSE(CONTROL!$C$15, $D$11, 100%, $F$11)</f>
        <v>37.810099999999998</v>
      </c>
      <c r="G801" s="8">
        <f>CHOOSE( CONTROL!$C$32, 36.2191, 36.2137) * CHOOSE( CONTROL!$C$15, $D$11, 100%, $F$11)</f>
        <v>36.219099999999997</v>
      </c>
      <c r="H801" s="4">
        <f>CHOOSE( CONTROL!$C$32, 37.164, 37.1586) * CHOOSE(CONTROL!$C$15, $D$11, 100%, $F$11)</f>
        <v>37.164000000000001</v>
      </c>
      <c r="I801" s="8">
        <f>CHOOSE( CONTROL!$C$32, 35.7183, 35.713) * CHOOSE(CONTROL!$C$15, $D$11, 100%, $F$11)</f>
        <v>35.718299999999999</v>
      </c>
      <c r="J801" s="4">
        <f>CHOOSE( CONTROL!$C$32, 35.5883, 35.5829) * CHOOSE(CONTROL!$C$15, $D$11, 100%, $F$11)</f>
        <v>35.588299999999997</v>
      </c>
      <c r="K801" s="4"/>
      <c r="L801" s="9">
        <v>30.7165</v>
      </c>
      <c r="M801" s="9">
        <v>12.063700000000001</v>
      </c>
      <c r="N801" s="9">
        <v>4.9444999999999997</v>
      </c>
      <c r="O801" s="9">
        <v>0.37409999999999999</v>
      </c>
      <c r="P801" s="9">
        <v>1.2183999999999999</v>
      </c>
      <c r="Q801" s="9">
        <v>19.688099999999999</v>
      </c>
      <c r="R801" s="9"/>
      <c r="S801" s="11"/>
    </row>
    <row r="802" spans="1:19" ht="15.75">
      <c r="A802" s="13">
        <v>65927</v>
      </c>
      <c r="B802" s="8">
        <f>CHOOSE( CONTROL!$C$32, 36.5018, 36.4962) * CHOOSE(CONTROL!$C$15, $D$11, 100%, $F$11)</f>
        <v>36.501800000000003</v>
      </c>
      <c r="C802" s="8">
        <f>CHOOSE( CONTROL!$C$32, 36.5099, 36.5043) * CHOOSE(CONTROL!$C$15, $D$11, 100%, $F$11)</f>
        <v>36.509900000000002</v>
      </c>
      <c r="D802" s="8">
        <f>CHOOSE( CONTROL!$C$32, 36.536, 36.5305) * CHOOSE( CONTROL!$C$15, $D$11, 100%, $F$11)</f>
        <v>36.536000000000001</v>
      </c>
      <c r="E802" s="12">
        <f>CHOOSE( CONTROL!$C$32, 36.5253, 36.5198) * CHOOSE( CONTROL!$C$15, $D$11, 100%, $F$11)</f>
        <v>36.525300000000001</v>
      </c>
      <c r="F802" s="4">
        <f>CHOOSE( CONTROL!$C$32, 37.2142, 37.2086) * CHOOSE(CONTROL!$C$15, $D$11, 100%, $F$11)</f>
        <v>37.214199999999998</v>
      </c>
      <c r="G802" s="8">
        <f>CHOOSE( CONTROL!$C$32, 35.6374, 35.632) * CHOOSE( CONTROL!$C$15, $D$11, 100%, $F$11)</f>
        <v>35.6374</v>
      </c>
      <c r="H802" s="4">
        <f>CHOOSE( CONTROL!$C$32, 36.582, 36.5766) * CHOOSE(CONTROL!$C$15, $D$11, 100%, $F$11)</f>
        <v>36.582000000000001</v>
      </c>
      <c r="I802" s="8">
        <f>CHOOSE( CONTROL!$C$32, 35.1468, 35.1414) * CHOOSE(CONTROL!$C$15, $D$11, 100%, $F$11)</f>
        <v>35.146799999999999</v>
      </c>
      <c r="J802" s="4">
        <f>CHOOSE( CONTROL!$C$32, 35.0162, 35.0108) * CHOOSE(CONTROL!$C$15, $D$11, 100%, $F$11)</f>
        <v>35.016199999999998</v>
      </c>
      <c r="K802" s="4"/>
      <c r="L802" s="9">
        <v>29.7257</v>
      </c>
      <c r="M802" s="9">
        <v>11.6745</v>
      </c>
      <c r="N802" s="9">
        <v>4.7850000000000001</v>
      </c>
      <c r="O802" s="9">
        <v>0.36199999999999999</v>
      </c>
      <c r="P802" s="9">
        <v>1.1791</v>
      </c>
      <c r="Q802" s="9">
        <v>19.053000000000001</v>
      </c>
      <c r="R802" s="9"/>
      <c r="S802" s="11"/>
    </row>
    <row r="803" spans="1:19" ht="15.75">
      <c r="A803" s="13">
        <v>65958</v>
      </c>
      <c r="B803" s="8">
        <f>CHOOSE( CONTROL!$C$32, 38.0709, 38.0654) * CHOOSE(CONTROL!$C$15, $D$11, 100%, $F$11)</f>
        <v>38.070900000000002</v>
      </c>
      <c r="C803" s="8">
        <f>CHOOSE( CONTROL!$C$32, 38.079, 38.0735) * CHOOSE(CONTROL!$C$15, $D$11, 100%, $F$11)</f>
        <v>38.079000000000001</v>
      </c>
      <c r="D803" s="8">
        <f>CHOOSE( CONTROL!$C$32, 38.1054, 38.0998) * CHOOSE( CONTROL!$C$15, $D$11, 100%, $F$11)</f>
        <v>38.105400000000003</v>
      </c>
      <c r="E803" s="12">
        <f>CHOOSE( CONTROL!$C$32, 38.0946, 38.089) * CHOOSE( CONTROL!$C$15, $D$11, 100%, $F$11)</f>
        <v>38.0946</v>
      </c>
      <c r="F803" s="4">
        <f>CHOOSE( CONTROL!$C$32, 38.7833, 38.7778) * CHOOSE(CONTROL!$C$15, $D$11, 100%, $F$11)</f>
        <v>38.783299999999997</v>
      </c>
      <c r="G803" s="8">
        <f>CHOOSE( CONTROL!$C$32, 37.1703, 37.1648) * CHOOSE( CONTROL!$C$15, $D$11, 100%, $F$11)</f>
        <v>37.170299999999997</v>
      </c>
      <c r="H803" s="4">
        <f>CHOOSE( CONTROL!$C$32, 38.1146, 38.1092) * CHOOSE(CONTROL!$C$15, $D$11, 100%, $F$11)</f>
        <v>38.114600000000003</v>
      </c>
      <c r="I803" s="8">
        <f>CHOOSE( CONTROL!$C$32, 36.655, 36.6496) * CHOOSE(CONTROL!$C$15, $D$11, 100%, $F$11)</f>
        <v>36.655000000000001</v>
      </c>
      <c r="J803" s="4">
        <f>CHOOSE( CONTROL!$C$32, 36.5227, 36.5173) * CHOOSE(CONTROL!$C$15, $D$11, 100%, $F$11)</f>
        <v>36.5227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1.2183999999999999</v>
      </c>
      <c r="Q803" s="9">
        <v>19.688099999999999</v>
      </c>
      <c r="R803" s="9"/>
      <c r="S803" s="11"/>
    </row>
    <row r="804" spans="1:19" ht="15.75">
      <c r="A804" s="13">
        <v>65989</v>
      </c>
      <c r="B804" s="8">
        <f>CHOOSE( CONTROL!$C$32, 35.1349, 35.1294) * CHOOSE(CONTROL!$C$15, $D$11, 100%, $F$11)</f>
        <v>35.134900000000002</v>
      </c>
      <c r="C804" s="8">
        <f>CHOOSE( CONTROL!$C$32, 35.143, 35.1374) * CHOOSE(CONTROL!$C$15, $D$11, 100%, $F$11)</f>
        <v>35.143000000000001</v>
      </c>
      <c r="D804" s="8">
        <f>CHOOSE( CONTROL!$C$32, 35.1694, 35.1638) * CHOOSE( CONTROL!$C$15, $D$11, 100%, $F$11)</f>
        <v>35.169400000000003</v>
      </c>
      <c r="E804" s="12">
        <f>CHOOSE( CONTROL!$C$32, 35.1586, 35.153) * CHOOSE( CONTROL!$C$15, $D$11, 100%, $F$11)</f>
        <v>35.1586</v>
      </c>
      <c r="F804" s="4">
        <f>CHOOSE( CONTROL!$C$32, 35.8473, 35.8417) * CHOOSE(CONTROL!$C$15, $D$11, 100%, $F$11)</f>
        <v>35.847299999999997</v>
      </c>
      <c r="G804" s="8">
        <f>CHOOSE( CONTROL!$C$32, 34.3028, 34.2973) * CHOOSE( CONTROL!$C$15, $D$11, 100%, $F$11)</f>
        <v>34.302799999999998</v>
      </c>
      <c r="H804" s="4">
        <f>CHOOSE( CONTROL!$C$32, 35.247, 35.2415) * CHOOSE(CONTROL!$C$15, $D$11, 100%, $F$11)</f>
        <v>35.247</v>
      </c>
      <c r="I804" s="8">
        <f>CHOOSE( CONTROL!$C$32, 33.835, 33.8296) * CHOOSE(CONTROL!$C$15, $D$11, 100%, $F$11)</f>
        <v>33.835000000000001</v>
      </c>
      <c r="J804" s="4">
        <f>CHOOSE( CONTROL!$C$32, 33.7038, 33.6985) * CHOOSE(CONTROL!$C$15, $D$11, 100%, $F$11)</f>
        <v>33.703800000000001</v>
      </c>
      <c r="K804" s="4"/>
      <c r="L804" s="9">
        <v>30.7165</v>
      </c>
      <c r="M804" s="9">
        <v>12.063700000000001</v>
      </c>
      <c r="N804" s="9">
        <v>4.9444999999999997</v>
      </c>
      <c r="O804" s="9">
        <v>0.37409999999999999</v>
      </c>
      <c r="P804" s="9">
        <v>1.2183999999999999</v>
      </c>
      <c r="Q804" s="9">
        <v>19.688099999999999</v>
      </c>
      <c r="R804" s="9"/>
      <c r="S804" s="11"/>
    </row>
    <row r="805" spans="1:19" ht="15.75">
      <c r="A805" s="13">
        <v>66019</v>
      </c>
      <c r="B805" s="8">
        <f>CHOOSE( CONTROL!$C$32, 34.3997, 34.3941) * CHOOSE(CONTROL!$C$15, $D$11, 100%, $F$11)</f>
        <v>34.399700000000003</v>
      </c>
      <c r="C805" s="8">
        <f>CHOOSE( CONTROL!$C$32, 34.4078, 34.4022) * CHOOSE(CONTROL!$C$15, $D$11, 100%, $F$11)</f>
        <v>34.407800000000002</v>
      </c>
      <c r="D805" s="8">
        <f>CHOOSE( CONTROL!$C$32, 34.4341, 34.4286) * CHOOSE( CONTROL!$C$15, $D$11, 100%, $F$11)</f>
        <v>34.434100000000001</v>
      </c>
      <c r="E805" s="12">
        <f>CHOOSE( CONTROL!$C$32, 34.4233, 34.4178) * CHOOSE( CONTROL!$C$15, $D$11, 100%, $F$11)</f>
        <v>34.423299999999998</v>
      </c>
      <c r="F805" s="4">
        <f>CHOOSE( CONTROL!$C$32, 35.1121, 35.1065) * CHOOSE(CONTROL!$C$15, $D$11, 100%, $F$11)</f>
        <v>35.112099999999998</v>
      </c>
      <c r="G805" s="8">
        <f>CHOOSE( CONTROL!$C$32, 33.5846, 33.5792) * CHOOSE( CONTROL!$C$15, $D$11, 100%, $F$11)</f>
        <v>33.584600000000002</v>
      </c>
      <c r="H805" s="4">
        <f>CHOOSE( CONTROL!$C$32, 34.5289, 34.5235) * CHOOSE(CONTROL!$C$15, $D$11, 100%, $F$11)</f>
        <v>34.5289</v>
      </c>
      <c r="I805" s="8">
        <f>CHOOSE( CONTROL!$C$32, 33.1285, 33.1232) * CHOOSE(CONTROL!$C$15, $D$11, 100%, $F$11)</f>
        <v>33.128500000000003</v>
      </c>
      <c r="J805" s="4">
        <f>CHOOSE( CONTROL!$C$32, 32.9979, 32.9926) * CHOOSE(CONTROL!$C$15, $D$11, 100%, $F$11)</f>
        <v>32.997900000000001</v>
      </c>
      <c r="K805" s="4"/>
      <c r="L805" s="9">
        <v>29.7257</v>
      </c>
      <c r="M805" s="9">
        <v>11.6745</v>
      </c>
      <c r="N805" s="9">
        <v>4.7850000000000001</v>
      </c>
      <c r="O805" s="9">
        <v>0.36199999999999999</v>
      </c>
      <c r="P805" s="9">
        <v>1.1791</v>
      </c>
      <c r="Q805" s="9">
        <v>19.053000000000001</v>
      </c>
      <c r="R805" s="9"/>
      <c r="S805" s="11"/>
    </row>
    <row r="806" spans="1:19" ht="15.75">
      <c r="A806" s="13">
        <v>66050</v>
      </c>
      <c r="B806" s="8">
        <f>35.919 * CHOOSE(CONTROL!$C$15, $D$11, 100%, $F$11)</f>
        <v>35.918999999999997</v>
      </c>
      <c r="C806" s="8">
        <f>35.9244 * CHOOSE(CONTROL!$C$15, $D$11, 100%, $F$11)</f>
        <v>35.924399999999999</v>
      </c>
      <c r="D806" s="8">
        <f>35.9556 * CHOOSE( CONTROL!$C$15, $D$11, 100%, $F$11)</f>
        <v>35.955599999999997</v>
      </c>
      <c r="E806" s="12">
        <f>35.9447 * CHOOSE( CONTROL!$C$15, $D$11, 100%, $F$11)</f>
        <v>35.944699999999997</v>
      </c>
      <c r="F806" s="4">
        <f>36.6331 * CHOOSE(CONTROL!$C$15, $D$11, 100%, $F$11)</f>
        <v>36.633099999999999</v>
      </c>
      <c r="G806" s="8">
        <f>35.0693 * CHOOSE( CONTROL!$C$15, $D$11, 100%, $F$11)</f>
        <v>35.069299999999998</v>
      </c>
      <c r="H806" s="4">
        <f>36.0144 * CHOOSE(CONTROL!$C$15, $D$11, 100%, $F$11)</f>
        <v>36.014400000000002</v>
      </c>
      <c r="I806" s="8">
        <f>34.5904 * CHOOSE(CONTROL!$C$15, $D$11, 100%, $F$11)</f>
        <v>34.590400000000002</v>
      </c>
      <c r="J806" s="4">
        <f>34.4582 * CHOOSE(CONTROL!$C$15, $D$11, 100%, $F$11)</f>
        <v>34.458199999999998</v>
      </c>
      <c r="K806" s="4"/>
      <c r="L806" s="9">
        <v>31.095300000000002</v>
      </c>
      <c r="M806" s="9">
        <v>12.063700000000001</v>
      </c>
      <c r="N806" s="9">
        <v>4.9444999999999997</v>
      </c>
      <c r="O806" s="9">
        <v>0.37409999999999999</v>
      </c>
      <c r="P806" s="9">
        <v>1.2183999999999999</v>
      </c>
      <c r="Q806" s="9">
        <v>19.688099999999999</v>
      </c>
      <c r="R806" s="9"/>
      <c r="S806" s="11"/>
    </row>
    <row r="807" spans="1:19" ht="15.75">
      <c r="A807" s="13">
        <v>66080</v>
      </c>
      <c r="B807" s="8">
        <f>38.7363 * CHOOSE(CONTROL!$C$15, $D$11, 100%, $F$11)</f>
        <v>38.7363</v>
      </c>
      <c r="C807" s="8">
        <f>38.7415 * CHOOSE(CONTROL!$C$15, $D$11, 100%, $F$11)</f>
        <v>38.741500000000002</v>
      </c>
      <c r="D807" s="8">
        <f>38.7277 * CHOOSE( CONTROL!$C$15, $D$11, 100%, $F$11)</f>
        <v>38.727699999999999</v>
      </c>
      <c r="E807" s="12">
        <f>38.7322 * CHOOSE( CONTROL!$C$15, $D$11, 100%, $F$11)</f>
        <v>38.732199999999999</v>
      </c>
      <c r="F807" s="4">
        <f>39.3868 * CHOOSE(CONTROL!$C$15, $D$11, 100%, $F$11)</f>
        <v>39.386800000000001</v>
      </c>
      <c r="G807" s="8">
        <f>37.8289 * CHOOSE( CONTROL!$C$15, $D$11, 100%, $F$11)</f>
        <v>37.828899999999997</v>
      </c>
      <c r="H807" s="4">
        <f>38.704 * CHOOSE(CONTROL!$C$15, $D$11, 100%, $F$11)</f>
        <v>38.704000000000001</v>
      </c>
      <c r="I807" s="8">
        <f>37.3407 * CHOOSE(CONTROL!$C$15, $D$11, 100%, $F$11)</f>
        <v>37.340699999999998</v>
      </c>
      <c r="J807" s="4">
        <f>37.1635 * CHOOSE(CONTROL!$C$15, $D$11, 100%, $F$11)</f>
        <v>37.163499999999999</v>
      </c>
      <c r="K807" s="4"/>
      <c r="L807" s="9">
        <v>28.360600000000002</v>
      </c>
      <c r="M807" s="9">
        <v>11.6745</v>
      </c>
      <c r="N807" s="9">
        <v>4.7850000000000001</v>
      </c>
      <c r="O807" s="9">
        <v>0.36199999999999999</v>
      </c>
      <c r="P807" s="9">
        <v>1.2509999999999999</v>
      </c>
      <c r="Q807" s="9">
        <v>19.053000000000001</v>
      </c>
      <c r="R807" s="9"/>
      <c r="S807" s="11"/>
    </row>
    <row r="808" spans="1:19" ht="15.75">
      <c r="A808" s="13">
        <v>66111</v>
      </c>
      <c r="B808" s="8">
        <f>38.6659 * CHOOSE(CONTROL!$C$15, $D$11, 100%, $F$11)</f>
        <v>38.665900000000001</v>
      </c>
      <c r="C808" s="8">
        <f>38.6711 * CHOOSE(CONTROL!$C$15, $D$11, 100%, $F$11)</f>
        <v>38.671100000000003</v>
      </c>
      <c r="D808" s="8">
        <f>38.6588 * CHOOSE( CONTROL!$C$15, $D$11, 100%, $F$11)</f>
        <v>38.658799999999999</v>
      </c>
      <c r="E808" s="12">
        <f>38.6627 * CHOOSE( CONTROL!$C$15, $D$11, 100%, $F$11)</f>
        <v>38.662700000000001</v>
      </c>
      <c r="F808" s="4">
        <f>39.3164 * CHOOSE(CONTROL!$C$15, $D$11, 100%, $F$11)</f>
        <v>39.316400000000002</v>
      </c>
      <c r="G808" s="8">
        <f>37.7613 * CHOOSE( CONTROL!$C$15, $D$11, 100%, $F$11)</f>
        <v>37.761299999999999</v>
      </c>
      <c r="H808" s="4">
        <f>38.6352 * CHOOSE(CONTROL!$C$15, $D$11, 100%, $F$11)</f>
        <v>38.635199999999998</v>
      </c>
      <c r="I808" s="8">
        <f>37.2778 * CHOOSE(CONTROL!$C$15, $D$11, 100%, $F$11)</f>
        <v>37.277799999999999</v>
      </c>
      <c r="J808" s="4">
        <f>37.0959 * CHOOSE(CONTROL!$C$15, $D$11, 100%, $F$11)</f>
        <v>37.0959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66142</v>
      </c>
      <c r="B809" s="8">
        <f>40.1426 * CHOOSE(CONTROL!$C$15, $D$11, 100%, $F$11)</f>
        <v>40.142600000000002</v>
      </c>
      <c r="C809" s="8">
        <f>40.1478 * CHOOSE(CONTROL!$C$15, $D$11, 100%, $F$11)</f>
        <v>40.147799999999997</v>
      </c>
      <c r="D809" s="8">
        <f>40.1302 * CHOOSE( CONTROL!$C$15, $D$11, 100%, $F$11)</f>
        <v>40.130200000000002</v>
      </c>
      <c r="E809" s="12">
        <f>40.1361 * CHOOSE( CONTROL!$C$15, $D$11, 100%, $F$11)</f>
        <v>40.136099999999999</v>
      </c>
      <c r="F809" s="4">
        <f>40.7931 * CHOOSE(CONTROL!$C$15, $D$11, 100%, $F$11)</f>
        <v>40.793100000000003</v>
      </c>
      <c r="G809" s="8">
        <f>39.1935 * CHOOSE( CONTROL!$C$15, $D$11, 100%, $F$11)</f>
        <v>39.1935</v>
      </c>
      <c r="H809" s="4">
        <f>40.0775 * CHOOSE(CONTROL!$C$15, $D$11, 100%, $F$11)</f>
        <v>40.077500000000001</v>
      </c>
      <c r="I809" s="8">
        <f>38.6562 * CHOOSE(CONTROL!$C$15, $D$11, 100%, $F$11)</f>
        <v>38.656199999999998</v>
      </c>
      <c r="J809" s="4">
        <f>38.5137 * CHOOSE(CONTROL!$C$15, $D$11, 100%, $F$11)</f>
        <v>38.5137</v>
      </c>
      <c r="K809" s="4"/>
      <c r="L809" s="9">
        <v>29.306000000000001</v>
      </c>
      <c r="M809" s="9">
        <v>12.063700000000001</v>
      </c>
      <c r="N809" s="9">
        <v>4.9444999999999997</v>
      </c>
      <c r="O809" s="9">
        <v>0.37409999999999999</v>
      </c>
      <c r="P809" s="9">
        <v>1.2927</v>
      </c>
      <c r="Q809" s="9">
        <v>19.688099999999999</v>
      </c>
      <c r="R809" s="9"/>
      <c r="S809" s="11"/>
    </row>
    <row r="810" spans="1:19" ht="15.75">
      <c r="A810" s="13">
        <v>66170</v>
      </c>
      <c r="B810" s="8">
        <f>37.5493 * CHOOSE(CONTROL!$C$15, $D$11, 100%, $F$11)</f>
        <v>37.549300000000002</v>
      </c>
      <c r="C810" s="8">
        <f>37.5545 * CHOOSE(CONTROL!$C$15, $D$11, 100%, $F$11)</f>
        <v>37.554499999999997</v>
      </c>
      <c r="D810" s="8">
        <f>37.5368 * CHOOSE( CONTROL!$C$15, $D$11, 100%, $F$11)</f>
        <v>37.536799999999999</v>
      </c>
      <c r="E810" s="12">
        <f>37.5427 * CHOOSE( CONTROL!$C$15, $D$11, 100%, $F$11)</f>
        <v>37.542700000000004</v>
      </c>
      <c r="F810" s="4">
        <f>38.1997 * CHOOSE(CONTROL!$C$15, $D$11, 100%, $F$11)</f>
        <v>38.1997</v>
      </c>
      <c r="G810" s="8">
        <f>36.6606 * CHOOSE( CONTROL!$C$15, $D$11, 100%, $F$11)</f>
        <v>36.660600000000002</v>
      </c>
      <c r="H810" s="4">
        <f>37.5446 * CHOOSE(CONTROL!$C$15, $D$11, 100%, $F$11)</f>
        <v>37.544600000000003</v>
      </c>
      <c r="I810" s="8">
        <f>36.1649 * CHOOSE(CONTROL!$C$15, $D$11, 100%, $F$11)</f>
        <v>36.164900000000003</v>
      </c>
      <c r="J810" s="4">
        <f>36.0239 * CHOOSE(CONTROL!$C$15, $D$11, 100%, $F$11)</f>
        <v>36.023899999999998</v>
      </c>
      <c r="K810" s="4"/>
      <c r="L810" s="9">
        <v>26.469899999999999</v>
      </c>
      <c r="M810" s="9">
        <v>10.8962</v>
      </c>
      <c r="N810" s="9">
        <v>4.4660000000000002</v>
      </c>
      <c r="O810" s="9">
        <v>0.33789999999999998</v>
      </c>
      <c r="P810" s="9">
        <v>1.1676</v>
      </c>
      <c r="Q810" s="9">
        <v>17.782800000000002</v>
      </c>
      <c r="R810" s="9"/>
      <c r="S810" s="11"/>
    </row>
    <row r="811" spans="1:19" ht="15.75">
      <c r="A811" s="13">
        <v>66201</v>
      </c>
      <c r="B811" s="8">
        <f>36.7505 * CHOOSE(CONTROL!$C$15, $D$11, 100%, $F$11)</f>
        <v>36.750500000000002</v>
      </c>
      <c r="C811" s="8">
        <f>36.7557 * CHOOSE(CONTROL!$C$15, $D$11, 100%, $F$11)</f>
        <v>36.755699999999997</v>
      </c>
      <c r="D811" s="8">
        <f>36.7377 * CHOOSE( CONTROL!$C$15, $D$11, 100%, $F$11)</f>
        <v>36.737699999999997</v>
      </c>
      <c r="E811" s="12">
        <f>36.7437 * CHOOSE( CONTROL!$C$15, $D$11, 100%, $F$11)</f>
        <v>36.743699999999997</v>
      </c>
      <c r="F811" s="4">
        <f>37.401 * CHOOSE(CONTROL!$C$15, $D$11, 100%, $F$11)</f>
        <v>37.401000000000003</v>
      </c>
      <c r="G811" s="8">
        <f>35.8802 * CHOOSE( CONTROL!$C$15, $D$11, 100%, $F$11)</f>
        <v>35.880200000000002</v>
      </c>
      <c r="H811" s="4">
        <f>36.7645 * CHOOSE(CONTROL!$C$15, $D$11, 100%, $F$11)</f>
        <v>36.764499999999998</v>
      </c>
      <c r="I811" s="8">
        <f>35.3965 * CHOOSE(CONTROL!$C$15, $D$11, 100%, $F$11)</f>
        <v>35.396500000000003</v>
      </c>
      <c r="J811" s="4">
        <f>35.257 * CHOOSE(CONTROL!$C$15, $D$11, 100%, $F$11)</f>
        <v>35.256999999999998</v>
      </c>
      <c r="K811" s="4"/>
      <c r="L811" s="9">
        <v>29.306000000000001</v>
      </c>
      <c r="M811" s="9">
        <v>12.063700000000001</v>
      </c>
      <c r="N811" s="9">
        <v>4.9444999999999997</v>
      </c>
      <c r="O811" s="9">
        <v>0.37409999999999999</v>
      </c>
      <c r="P811" s="9">
        <v>1.2927</v>
      </c>
      <c r="Q811" s="9">
        <v>19.688099999999999</v>
      </c>
      <c r="R811" s="9"/>
      <c r="S811" s="11"/>
    </row>
    <row r="812" spans="1:19" ht="15.75">
      <c r="A812" s="13">
        <v>66231</v>
      </c>
      <c r="B812" s="8">
        <f>37.3094 * CHOOSE(CONTROL!$C$15, $D$11, 100%, $F$11)</f>
        <v>37.309399999999997</v>
      </c>
      <c r="C812" s="8">
        <f>37.3141 * CHOOSE(CONTROL!$C$15, $D$11, 100%, $F$11)</f>
        <v>37.314100000000003</v>
      </c>
      <c r="D812" s="8">
        <f>37.3452 * CHOOSE( CONTROL!$C$15, $D$11, 100%, $F$11)</f>
        <v>37.345199999999998</v>
      </c>
      <c r="E812" s="12">
        <f>37.3344 * CHOOSE( CONTROL!$C$15, $D$11, 100%, $F$11)</f>
        <v>37.334400000000002</v>
      </c>
      <c r="F812" s="4">
        <f>38.0232 * CHOOSE(CONTROL!$C$15, $D$11, 100%, $F$11)</f>
        <v>38.023200000000003</v>
      </c>
      <c r="G812" s="8">
        <f>36.4262 * CHOOSE( CONTROL!$C$15, $D$11, 100%, $F$11)</f>
        <v>36.426200000000001</v>
      </c>
      <c r="H812" s="4">
        <f>37.3722 * CHOOSE(CONTROL!$C$15, $D$11, 100%, $F$11)</f>
        <v>37.372199999999999</v>
      </c>
      <c r="I812" s="8">
        <f>35.9231 * CHOOSE(CONTROL!$C$15, $D$11, 100%, $F$11)</f>
        <v>35.923099999999998</v>
      </c>
      <c r="J812" s="4">
        <f>35.7929 * CHOOSE(CONTROL!$C$15, $D$11, 100%, $F$11)</f>
        <v>35.792900000000003</v>
      </c>
      <c r="K812" s="4"/>
      <c r="L812" s="9">
        <v>30.092199999999998</v>
      </c>
      <c r="M812" s="9">
        <v>11.6745</v>
      </c>
      <c r="N812" s="9">
        <v>4.7850000000000001</v>
      </c>
      <c r="O812" s="9">
        <v>0.36199999999999999</v>
      </c>
      <c r="P812" s="9">
        <v>1.1791</v>
      </c>
      <c r="Q812" s="9">
        <v>19.053000000000001</v>
      </c>
      <c r="R812" s="9"/>
      <c r="S812" s="11"/>
    </row>
    <row r="813" spans="1:19" ht="15.75">
      <c r="A813" s="13">
        <v>66262</v>
      </c>
      <c r="B813" s="8">
        <f>CHOOSE( CONTROL!$C$32, 38.3097, 38.3042) * CHOOSE(CONTROL!$C$15, $D$11, 100%, $F$11)</f>
        <v>38.309699999999999</v>
      </c>
      <c r="C813" s="8">
        <f>CHOOSE( CONTROL!$C$32, 38.3178, 38.3122) * CHOOSE(CONTROL!$C$15, $D$11, 100%, $F$11)</f>
        <v>38.317799999999998</v>
      </c>
      <c r="D813" s="8">
        <f>CHOOSE( CONTROL!$C$32, 38.3438, 38.3382) * CHOOSE( CONTROL!$C$15, $D$11, 100%, $F$11)</f>
        <v>38.343800000000002</v>
      </c>
      <c r="E813" s="12">
        <f>CHOOSE( CONTROL!$C$32, 38.3331, 38.3276) * CHOOSE( CONTROL!$C$15, $D$11, 100%, $F$11)</f>
        <v>38.333100000000002</v>
      </c>
      <c r="F813" s="4">
        <f>CHOOSE( CONTROL!$C$32, 39.0221, 39.0166) * CHOOSE(CONTROL!$C$15, $D$11, 100%, $F$11)</f>
        <v>39.022100000000002</v>
      </c>
      <c r="G813" s="8">
        <f>CHOOSE( CONTROL!$C$32, 37.403, 37.3975) * CHOOSE( CONTROL!$C$15, $D$11, 100%, $F$11)</f>
        <v>37.402999999999999</v>
      </c>
      <c r="H813" s="4">
        <f>CHOOSE( CONTROL!$C$32, 38.3478, 38.3424) * CHOOSE(CONTROL!$C$15, $D$11, 100%, $F$11)</f>
        <v>38.347799999999999</v>
      </c>
      <c r="I813" s="8">
        <f>CHOOSE( CONTROL!$C$32, 36.8826, 36.8772) * CHOOSE(CONTROL!$C$15, $D$11, 100%, $F$11)</f>
        <v>36.882599999999996</v>
      </c>
      <c r="J813" s="4">
        <f>CHOOSE( CONTROL!$C$32, 36.7519, 36.7466) * CHOOSE(CONTROL!$C$15, $D$11, 100%, $F$11)</f>
        <v>36.751899999999999</v>
      </c>
      <c r="K813" s="4"/>
      <c r="L813" s="9">
        <v>30.7165</v>
      </c>
      <c r="M813" s="9">
        <v>12.063700000000001</v>
      </c>
      <c r="N813" s="9">
        <v>4.9444999999999997</v>
      </c>
      <c r="O813" s="9">
        <v>0.37409999999999999</v>
      </c>
      <c r="P813" s="9">
        <v>1.2183999999999999</v>
      </c>
      <c r="Q813" s="9">
        <v>19.688099999999999</v>
      </c>
      <c r="R813" s="9"/>
      <c r="S813" s="11"/>
    </row>
    <row r="814" spans="1:19" ht="15.75">
      <c r="A814" s="13">
        <v>66292</v>
      </c>
      <c r="B814" s="8">
        <f>CHOOSE( CONTROL!$C$32, 37.6944, 37.6888) * CHOOSE(CONTROL!$C$15, $D$11, 100%, $F$11)</f>
        <v>37.694400000000002</v>
      </c>
      <c r="C814" s="8">
        <f>CHOOSE( CONTROL!$C$32, 37.7025, 37.6969) * CHOOSE(CONTROL!$C$15, $D$11, 100%, $F$11)</f>
        <v>37.702500000000001</v>
      </c>
      <c r="D814" s="8">
        <f>CHOOSE( CONTROL!$C$32, 37.7286, 37.723) * CHOOSE( CONTROL!$C$15, $D$11, 100%, $F$11)</f>
        <v>37.7286</v>
      </c>
      <c r="E814" s="12">
        <f>CHOOSE( CONTROL!$C$32, 37.7179, 37.7123) * CHOOSE( CONTROL!$C$15, $D$11, 100%, $F$11)</f>
        <v>37.7179</v>
      </c>
      <c r="F814" s="4">
        <f>CHOOSE( CONTROL!$C$32, 38.4068, 38.4012) * CHOOSE(CONTROL!$C$15, $D$11, 100%, $F$11)</f>
        <v>38.406799999999997</v>
      </c>
      <c r="G814" s="8">
        <f>CHOOSE( CONTROL!$C$32, 36.8022, 36.7968) * CHOOSE( CONTROL!$C$15, $D$11, 100%, $F$11)</f>
        <v>36.802199999999999</v>
      </c>
      <c r="H814" s="4">
        <f>CHOOSE( CONTROL!$C$32, 37.7468, 37.7414) * CHOOSE(CONTROL!$C$15, $D$11, 100%, $F$11)</f>
        <v>37.7468</v>
      </c>
      <c r="I814" s="8">
        <f>CHOOSE( CONTROL!$C$32, 36.2923, 36.287) * CHOOSE(CONTROL!$C$15, $D$11, 100%, $F$11)</f>
        <v>36.292299999999997</v>
      </c>
      <c r="J814" s="4">
        <f>CHOOSE( CONTROL!$C$32, 36.1611, 36.1558) * CHOOSE(CONTROL!$C$15, $D$11, 100%, $F$11)</f>
        <v>36.161099999999998</v>
      </c>
      <c r="K814" s="4"/>
      <c r="L814" s="9">
        <v>29.7257</v>
      </c>
      <c r="M814" s="9">
        <v>11.6745</v>
      </c>
      <c r="N814" s="9">
        <v>4.7850000000000001</v>
      </c>
      <c r="O814" s="9">
        <v>0.36199999999999999</v>
      </c>
      <c r="P814" s="9">
        <v>1.1791</v>
      </c>
      <c r="Q814" s="9">
        <v>19.053000000000001</v>
      </c>
      <c r="R814" s="9"/>
      <c r="S814" s="11"/>
    </row>
    <row r="815" spans="1:19" ht="15.75">
      <c r="A815" s="13">
        <v>66323</v>
      </c>
      <c r="B815" s="8">
        <f>CHOOSE( CONTROL!$C$32, 39.3148, 39.3093) * CHOOSE(CONTROL!$C$15, $D$11, 100%, $F$11)</f>
        <v>39.314799999999998</v>
      </c>
      <c r="C815" s="8">
        <f>CHOOSE( CONTROL!$C$32, 39.3229, 39.3173) * CHOOSE(CONTROL!$C$15, $D$11, 100%, $F$11)</f>
        <v>39.322899999999997</v>
      </c>
      <c r="D815" s="8">
        <f>CHOOSE( CONTROL!$C$32, 39.3493, 39.3437) * CHOOSE( CONTROL!$C$15, $D$11, 100%, $F$11)</f>
        <v>39.349299999999999</v>
      </c>
      <c r="E815" s="12">
        <f>CHOOSE( CONTROL!$C$32, 39.3385, 39.3329) * CHOOSE( CONTROL!$C$15, $D$11, 100%, $F$11)</f>
        <v>39.338500000000003</v>
      </c>
      <c r="F815" s="4">
        <f>CHOOSE( CONTROL!$C$32, 40.0272, 40.0217) * CHOOSE(CONTROL!$C$15, $D$11, 100%, $F$11)</f>
        <v>40.027200000000001</v>
      </c>
      <c r="G815" s="8">
        <f>CHOOSE( CONTROL!$C$32, 38.3852, 38.3798) * CHOOSE( CONTROL!$C$15, $D$11, 100%, $F$11)</f>
        <v>38.385199999999998</v>
      </c>
      <c r="H815" s="4">
        <f>CHOOSE( CONTROL!$C$32, 39.3295, 39.3241) * CHOOSE(CONTROL!$C$15, $D$11, 100%, $F$11)</f>
        <v>39.329500000000003</v>
      </c>
      <c r="I815" s="8">
        <f>CHOOSE( CONTROL!$C$32, 37.8498, 37.8445) * CHOOSE(CONTROL!$C$15, $D$11, 100%, $F$11)</f>
        <v>37.849800000000002</v>
      </c>
      <c r="J815" s="4">
        <f>CHOOSE( CONTROL!$C$32, 37.7169, 37.7116) * CHOOSE(CONTROL!$C$15, $D$11, 100%, $F$11)</f>
        <v>37.716900000000003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1.2183999999999999</v>
      </c>
      <c r="Q815" s="9">
        <v>19.688099999999999</v>
      </c>
      <c r="R815" s="9"/>
      <c r="S815" s="11"/>
    </row>
    <row r="816" spans="1:19" ht="15.75">
      <c r="A816" s="13">
        <v>66354</v>
      </c>
      <c r="B816" s="8">
        <f>CHOOSE( CONTROL!$C$32, 36.2828, 36.2772) * CHOOSE(CONTROL!$C$15, $D$11, 100%, $F$11)</f>
        <v>36.282800000000002</v>
      </c>
      <c r="C816" s="8">
        <f>CHOOSE( CONTROL!$C$32, 36.2909, 36.2853) * CHOOSE(CONTROL!$C$15, $D$11, 100%, $F$11)</f>
        <v>36.290900000000001</v>
      </c>
      <c r="D816" s="8">
        <f>CHOOSE( CONTROL!$C$32, 36.3173, 36.3117) * CHOOSE( CONTROL!$C$15, $D$11, 100%, $F$11)</f>
        <v>36.317300000000003</v>
      </c>
      <c r="E816" s="12">
        <f>CHOOSE( CONTROL!$C$32, 36.3065, 36.3009) * CHOOSE( CONTROL!$C$15, $D$11, 100%, $F$11)</f>
        <v>36.3065</v>
      </c>
      <c r="F816" s="4">
        <f>CHOOSE( CONTROL!$C$32, 36.9952, 36.9896) * CHOOSE(CONTROL!$C$15, $D$11, 100%, $F$11)</f>
        <v>36.995199999999997</v>
      </c>
      <c r="G816" s="8">
        <f>CHOOSE( CONTROL!$C$32, 35.4239, 35.4184) * CHOOSE( CONTROL!$C$15, $D$11, 100%, $F$11)</f>
        <v>35.423900000000003</v>
      </c>
      <c r="H816" s="4">
        <f>CHOOSE( CONTROL!$C$32, 36.3681, 36.3627) * CHOOSE(CONTROL!$C$15, $D$11, 100%, $F$11)</f>
        <v>36.368099999999998</v>
      </c>
      <c r="I816" s="8">
        <f>CHOOSE( CONTROL!$C$32, 34.9376, 34.9323) * CHOOSE(CONTROL!$C$15, $D$11, 100%, $F$11)</f>
        <v>34.937600000000003</v>
      </c>
      <c r="J816" s="4">
        <f>CHOOSE( CONTROL!$C$32, 34.8059, 34.8005) * CHOOSE(CONTROL!$C$15, $D$11, 100%, $F$11)</f>
        <v>34.805900000000001</v>
      </c>
      <c r="K816" s="4"/>
      <c r="L816" s="9">
        <v>30.7165</v>
      </c>
      <c r="M816" s="9">
        <v>12.063700000000001</v>
      </c>
      <c r="N816" s="9">
        <v>4.9444999999999997</v>
      </c>
      <c r="O816" s="9">
        <v>0.37409999999999999</v>
      </c>
      <c r="P816" s="9">
        <v>1.2183999999999999</v>
      </c>
      <c r="Q816" s="9">
        <v>19.688099999999999</v>
      </c>
      <c r="R816" s="9"/>
      <c r="S816" s="11"/>
    </row>
    <row r="817" spans="1:19" ht="15.75">
      <c r="A817" s="13">
        <v>66384</v>
      </c>
      <c r="B817" s="8">
        <f>CHOOSE( CONTROL!$C$32, 35.5235, 35.518) * CHOOSE(CONTROL!$C$15, $D$11, 100%, $F$11)</f>
        <v>35.523499999999999</v>
      </c>
      <c r="C817" s="8">
        <f>CHOOSE( CONTROL!$C$32, 35.5316, 35.526) * CHOOSE(CONTROL!$C$15, $D$11, 100%, $F$11)</f>
        <v>35.531599999999997</v>
      </c>
      <c r="D817" s="8">
        <f>CHOOSE( CONTROL!$C$32, 35.558, 35.5524) * CHOOSE( CONTROL!$C$15, $D$11, 100%, $F$11)</f>
        <v>35.558</v>
      </c>
      <c r="E817" s="12">
        <f>CHOOSE( CONTROL!$C$32, 35.5472, 35.5416) * CHOOSE( CONTROL!$C$15, $D$11, 100%, $F$11)</f>
        <v>35.547199999999997</v>
      </c>
      <c r="F817" s="4">
        <f>CHOOSE( CONTROL!$C$32, 36.2359, 36.2304) * CHOOSE(CONTROL!$C$15, $D$11, 100%, $F$11)</f>
        <v>36.235900000000001</v>
      </c>
      <c r="G817" s="8">
        <f>CHOOSE( CONTROL!$C$32, 34.6822, 34.6768) * CHOOSE( CONTROL!$C$15, $D$11, 100%, $F$11)</f>
        <v>34.682200000000002</v>
      </c>
      <c r="H817" s="4">
        <f>CHOOSE( CONTROL!$C$32, 35.6265, 35.6211) * CHOOSE(CONTROL!$C$15, $D$11, 100%, $F$11)</f>
        <v>35.6265</v>
      </c>
      <c r="I817" s="8">
        <f>CHOOSE( CONTROL!$C$32, 34.208, 34.2027) * CHOOSE(CONTROL!$C$15, $D$11, 100%, $F$11)</f>
        <v>34.207999999999998</v>
      </c>
      <c r="J817" s="4">
        <f>CHOOSE( CONTROL!$C$32, 34.0769, 34.0716) * CHOOSE(CONTROL!$C$15, $D$11, 100%, $F$11)</f>
        <v>34.076900000000002</v>
      </c>
      <c r="K817" s="4"/>
      <c r="L817" s="9">
        <v>29.7257</v>
      </c>
      <c r="M817" s="9">
        <v>11.6745</v>
      </c>
      <c r="N817" s="9">
        <v>4.7850000000000001</v>
      </c>
      <c r="O817" s="9">
        <v>0.36199999999999999</v>
      </c>
      <c r="P817" s="9">
        <v>1.1791</v>
      </c>
      <c r="Q817" s="9">
        <v>19.053000000000001</v>
      </c>
      <c r="R817" s="9"/>
      <c r="S817" s="11"/>
    </row>
    <row r="818" spans="1:19" ht="15.75">
      <c r="A818" s="13">
        <v>66415</v>
      </c>
      <c r="B818" s="8">
        <f>37.0927 * CHOOSE(CONTROL!$C$15, $D$11, 100%, $F$11)</f>
        <v>37.092700000000001</v>
      </c>
      <c r="C818" s="8">
        <f>37.0982 * CHOOSE(CONTROL!$C$15, $D$11, 100%, $F$11)</f>
        <v>37.098199999999999</v>
      </c>
      <c r="D818" s="8">
        <f>37.1293 * CHOOSE( CONTROL!$C$15, $D$11, 100%, $F$11)</f>
        <v>37.129300000000001</v>
      </c>
      <c r="E818" s="12">
        <f>37.1184 * CHOOSE( CONTROL!$C$15, $D$11, 100%, $F$11)</f>
        <v>37.118400000000001</v>
      </c>
      <c r="F818" s="4">
        <f>37.8068 * CHOOSE(CONTROL!$C$15, $D$11, 100%, $F$11)</f>
        <v>37.806800000000003</v>
      </c>
      <c r="G818" s="8">
        <f>36.2157 * CHOOSE( CONTROL!$C$15, $D$11, 100%, $F$11)</f>
        <v>36.215699999999998</v>
      </c>
      <c r="H818" s="4">
        <f>37.1608 * CHOOSE(CONTROL!$C$15, $D$11, 100%, $F$11)</f>
        <v>37.160800000000002</v>
      </c>
      <c r="I818" s="8">
        <f>35.7179 * CHOOSE(CONTROL!$C$15, $D$11, 100%, $F$11)</f>
        <v>35.7179</v>
      </c>
      <c r="J818" s="4">
        <f>35.5852 * CHOOSE(CONTROL!$C$15, $D$11, 100%, $F$11)</f>
        <v>35.5852</v>
      </c>
      <c r="K818" s="4"/>
      <c r="L818" s="9">
        <v>31.095300000000002</v>
      </c>
      <c r="M818" s="9">
        <v>12.063700000000001</v>
      </c>
      <c r="N818" s="9">
        <v>4.9444999999999997</v>
      </c>
      <c r="O818" s="9">
        <v>0.37409999999999999</v>
      </c>
      <c r="P818" s="9">
        <v>1.2183999999999999</v>
      </c>
      <c r="Q818" s="9">
        <v>19.688099999999999</v>
      </c>
      <c r="R818" s="9"/>
      <c r="S818" s="11"/>
    </row>
    <row r="819" spans="1:19" ht="15.75">
      <c r="A819" s="13">
        <v>66445</v>
      </c>
      <c r="B819" s="8">
        <f>40.0022 * CHOOSE(CONTROL!$C$15, $D$11, 100%, $F$11)</f>
        <v>40.002200000000002</v>
      </c>
      <c r="C819" s="8">
        <f>40.0074 * CHOOSE(CONTROL!$C$15, $D$11, 100%, $F$11)</f>
        <v>40.007399999999997</v>
      </c>
      <c r="D819" s="8">
        <f>39.9936 * CHOOSE( CONTROL!$C$15, $D$11, 100%, $F$11)</f>
        <v>39.993600000000001</v>
      </c>
      <c r="E819" s="12">
        <f>39.9981 * CHOOSE( CONTROL!$C$15, $D$11, 100%, $F$11)</f>
        <v>39.998100000000001</v>
      </c>
      <c r="F819" s="4">
        <f>40.6526 * CHOOSE(CONTROL!$C$15, $D$11, 100%, $F$11)</f>
        <v>40.6526</v>
      </c>
      <c r="G819" s="8">
        <f>39.0654 * CHOOSE( CONTROL!$C$15, $D$11, 100%, $F$11)</f>
        <v>39.065399999999997</v>
      </c>
      <c r="H819" s="4">
        <f>39.9404 * CHOOSE(CONTROL!$C$15, $D$11, 100%, $F$11)</f>
        <v>39.940399999999997</v>
      </c>
      <c r="I819" s="8">
        <f>38.5567 * CHOOSE(CONTROL!$C$15, $D$11, 100%, $F$11)</f>
        <v>38.556699999999999</v>
      </c>
      <c r="J819" s="4">
        <f>38.3789 * CHOOSE(CONTROL!$C$15, $D$11, 100%, $F$11)</f>
        <v>38.378900000000002</v>
      </c>
      <c r="K819" s="4"/>
      <c r="L819" s="9">
        <v>28.360600000000002</v>
      </c>
      <c r="M819" s="9">
        <v>11.6745</v>
      </c>
      <c r="N819" s="9">
        <v>4.7850000000000001</v>
      </c>
      <c r="O819" s="9">
        <v>0.36199999999999999</v>
      </c>
      <c r="P819" s="9">
        <v>1.2509999999999999</v>
      </c>
      <c r="Q819" s="9">
        <v>19.053000000000001</v>
      </c>
      <c r="R819" s="9"/>
      <c r="S819" s="11"/>
    </row>
    <row r="820" spans="1:19" ht="15.75">
      <c r="A820" s="13">
        <v>66476</v>
      </c>
      <c r="B820" s="8">
        <f>39.9295 * CHOOSE(CONTROL!$C$15, $D$11, 100%, $F$11)</f>
        <v>39.929499999999997</v>
      </c>
      <c r="C820" s="8">
        <f>39.9347 * CHOOSE(CONTROL!$C$15, $D$11, 100%, $F$11)</f>
        <v>39.934699999999999</v>
      </c>
      <c r="D820" s="8">
        <f>39.9224 * CHOOSE( CONTROL!$C$15, $D$11, 100%, $F$11)</f>
        <v>39.922400000000003</v>
      </c>
      <c r="E820" s="12">
        <f>39.9263 * CHOOSE( CONTROL!$C$15, $D$11, 100%, $F$11)</f>
        <v>39.926299999999998</v>
      </c>
      <c r="F820" s="4">
        <f>40.5799 * CHOOSE(CONTROL!$C$15, $D$11, 100%, $F$11)</f>
        <v>40.579900000000002</v>
      </c>
      <c r="G820" s="8">
        <f>38.9954 * CHOOSE( CONTROL!$C$15, $D$11, 100%, $F$11)</f>
        <v>38.995399999999997</v>
      </c>
      <c r="H820" s="4">
        <f>39.8694 * CHOOSE(CONTROL!$C$15, $D$11, 100%, $F$11)</f>
        <v>39.869399999999999</v>
      </c>
      <c r="I820" s="8">
        <f>38.4916 * CHOOSE(CONTROL!$C$15, $D$11, 100%, $F$11)</f>
        <v>38.491599999999998</v>
      </c>
      <c r="J820" s="4">
        <f>38.3091 * CHOOSE(CONTROL!$C$15, $D$11, 100%, $F$11)</f>
        <v>38.309100000000001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66507</v>
      </c>
      <c r="B821" s="8">
        <f>41.4545 * CHOOSE(CONTROL!$C$15, $D$11, 100%, $F$11)</f>
        <v>41.454500000000003</v>
      </c>
      <c r="C821" s="8">
        <f>41.4597 * CHOOSE(CONTROL!$C$15, $D$11, 100%, $F$11)</f>
        <v>41.459699999999998</v>
      </c>
      <c r="D821" s="8">
        <f>41.4421 * CHOOSE( CONTROL!$C$15, $D$11, 100%, $F$11)</f>
        <v>41.442100000000003</v>
      </c>
      <c r="E821" s="12">
        <f>41.448 * CHOOSE( CONTROL!$C$15, $D$11, 100%, $F$11)</f>
        <v>41.448</v>
      </c>
      <c r="F821" s="4">
        <f>42.1049 * CHOOSE(CONTROL!$C$15, $D$11, 100%, $F$11)</f>
        <v>42.104900000000001</v>
      </c>
      <c r="G821" s="8">
        <f>40.4749 * CHOOSE( CONTROL!$C$15, $D$11, 100%, $F$11)</f>
        <v>40.474899999999998</v>
      </c>
      <c r="H821" s="4">
        <f>41.3588 * CHOOSE(CONTROL!$C$15, $D$11, 100%, $F$11)</f>
        <v>41.358800000000002</v>
      </c>
      <c r="I821" s="8">
        <f>39.9163 * CHOOSE(CONTROL!$C$15, $D$11, 100%, $F$11)</f>
        <v>39.9163</v>
      </c>
      <c r="J821" s="4">
        <f>39.7733 * CHOOSE(CONTROL!$C$15, $D$11, 100%, $F$11)</f>
        <v>39.773299999999999</v>
      </c>
      <c r="K821" s="4"/>
      <c r="L821" s="9">
        <v>29.306000000000001</v>
      </c>
      <c r="M821" s="9">
        <v>12.063700000000001</v>
      </c>
      <c r="N821" s="9">
        <v>4.9444999999999997</v>
      </c>
      <c r="O821" s="9">
        <v>0.37409999999999999</v>
      </c>
      <c r="P821" s="9">
        <v>1.2927</v>
      </c>
      <c r="Q821" s="9">
        <v>19.688099999999999</v>
      </c>
      <c r="R821" s="9"/>
      <c r="S821" s="11"/>
    </row>
    <row r="822" spans="1:19" ht="15.75">
      <c r="A822" s="13">
        <v>66535</v>
      </c>
      <c r="B822" s="8">
        <f>38.7763 * CHOOSE(CONTROL!$C$15, $D$11, 100%, $F$11)</f>
        <v>38.776299999999999</v>
      </c>
      <c r="C822" s="8">
        <f>38.7815 * CHOOSE(CONTROL!$C$15, $D$11, 100%, $F$11)</f>
        <v>38.781500000000001</v>
      </c>
      <c r="D822" s="8">
        <f>38.7639 * CHOOSE( CONTROL!$C$15, $D$11, 100%, $F$11)</f>
        <v>38.7639</v>
      </c>
      <c r="E822" s="12">
        <f>38.7698 * CHOOSE( CONTROL!$C$15, $D$11, 100%, $F$11)</f>
        <v>38.769799999999996</v>
      </c>
      <c r="F822" s="4">
        <f>39.4268 * CHOOSE(CONTROL!$C$15, $D$11, 100%, $F$11)</f>
        <v>39.4268</v>
      </c>
      <c r="G822" s="8">
        <f>37.8591 * CHOOSE( CONTROL!$C$15, $D$11, 100%, $F$11)</f>
        <v>37.859099999999998</v>
      </c>
      <c r="H822" s="4">
        <f>38.7431 * CHOOSE(CONTROL!$C$15, $D$11, 100%, $F$11)</f>
        <v>38.743099999999998</v>
      </c>
      <c r="I822" s="8">
        <f>37.3436 * CHOOSE(CONTROL!$C$15, $D$11, 100%, $F$11)</f>
        <v>37.343600000000002</v>
      </c>
      <c r="J822" s="4">
        <f>37.202 * CHOOSE(CONTROL!$C$15, $D$11, 100%, $F$11)</f>
        <v>37.201999999999998</v>
      </c>
      <c r="K822" s="4"/>
      <c r="L822" s="9">
        <v>26.469899999999999</v>
      </c>
      <c r="M822" s="9">
        <v>10.8962</v>
      </c>
      <c r="N822" s="9">
        <v>4.4660000000000002</v>
      </c>
      <c r="O822" s="9">
        <v>0.33789999999999998</v>
      </c>
      <c r="P822" s="9">
        <v>1.1676</v>
      </c>
      <c r="Q822" s="9">
        <v>17.782800000000002</v>
      </c>
      <c r="R822" s="9"/>
      <c r="S822" s="11"/>
    </row>
    <row r="823" spans="1:19" ht="15.75">
      <c r="A823" s="13">
        <v>66566</v>
      </c>
      <c r="B823" s="8">
        <f>37.9515 * CHOOSE(CONTROL!$C$15, $D$11, 100%, $F$11)</f>
        <v>37.951500000000003</v>
      </c>
      <c r="C823" s="8">
        <f>37.9567 * CHOOSE(CONTROL!$C$15, $D$11, 100%, $F$11)</f>
        <v>37.956699999999998</v>
      </c>
      <c r="D823" s="8">
        <f>37.9387 * CHOOSE( CONTROL!$C$15, $D$11, 100%, $F$11)</f>
        <v>37.938699999999997</v>
      </c>
      <c r="E823" s="12">
        <f>37.9447 * CHOOSE( CONTROL!$C$15, $D$11, 100%, $F$11)</f>
        <v>37.944699999999997</v>
      </c>
      <c r="F823" s="4">
        <f>38.602 * CHOOSE(CONTROL!$C$15, $D$11, 100%, $F$11)</f>
        <v>38.601999999999997</v>
      </c>
      <c r="G823" s="8">
        <f>37.0532 * CHOOSE( CONTROL!$C$15, $D$11, 100%, $F$11)</f>
        <v>37.053199999999997</v>
      </c>
      <c r="H823" s="4">
        <f>37.9374 * CHOOSE(CONTROL!$C$15, $D$11, 100%, $F$11)</f>
        <v>37.937399999999997</v>
      </c>
      <c r="I823" s="8">
        <f>36.5501 * CHOOSE(CONTROL!$C$15, $D$11, 100%, $F$11)</f>
        <v>36.5501</v>
      </c>
      <c r="J823" s="4">
        <f>36.41 * CHOOSE(CONTROL!$C$15, $D$11, 100%, $F$11)</f>
        <v>36.409999999999997</v>
      </c>
      <c r="K823" s="4"/>
      <c r="L823" s="9">
        <v>29.306000000000001</v>
      </c>
      <c r="M823" s="9">
        <v>12.063700000000001</v>
      </c>
      <c r="N823" s="9">
        <v>4.9444999999999997</v>
      </c>
      <c r="O823" s="9">
        <v>0.37409999999999999</v>
      </c>
      <c r="P823" s="9">
        <v>1.2927</v>
      </c>
      <c r="Q823" s="9">
        <v>19.688099999999999</v>
      </c>
      <c r="R823" s="9"/>
      <c r="S823" s="11"/>
    </row>
    <row r="824" spans="1:19" ht="15.75">
      <c r="A824" s="13">
        <v>66596</v>
      </c>
      <c r="B824" s="8">
        <f>38.5286 * CHOOSE(CONTROL!$C$15, $D$11, 100%, $F$11)</f>
        <v>38.528599999999997</v>
      </c>
      <c r="C824" s="8">
        <f>38.5333 * CHOOSE(CONTROL!$C$15, $D$11, 100%, $F$11)</f>
        <v>38.533299999999997</v>
      </c>
      <c r="D824" s="8">
        <f>38.5644 * CHOOSE( CONTROL!$C$15, $D$11, 100%, $F$11)</f>
        <v>38.564399999999999</v>
      </c>
      <c r="E824" s="12">
        <f>38.5536 * CHOOSE( CONTROL!$C$15, $D$11, 100%, $F$11)</f>
        <v>38.553600000000003</v>
      </c>
      <c r="F824" s="4">
        <f>39.2424 * CHOOSE(CONTROL!$C$15, $D$11, 100%, $F$11)</f>
        <v>39.242400000000004</v>
      </c>
      <c r="G824" s="8">
        <f>37.617 * CHOOSE( CONTROL!$C$15, $D$11, 100%, $F$11)</f>
        <v>37.616999999999997</v>
      </c>
      <c r="H824" s="4">
        <f>38.563 * CHOOSE(CONTROL!$C$15, $D$11, 100%, $F$11)</f>
        <v>38.563000000000002</v>
      </c>
      <c r="I824" s="8">
        <f>37.0943 * CHOOSE(CONTROL!$C$15, $D$11, 100%, $F$11)</f>
        <v>37.094299999999997</v>
      </c>
      <c r="J824" s="4">
        <f>36.9634 * CHOOSE(CONTROL!$C$15, $D$11, 100%, $F$11)</f>
        <v>36.9634</v>
      </c>
      <c r="K824" s="4"/>
      <c r="L824" s="9">
        <v>30.092199999999998</v>
      </c>
      <c r="M824" s="9">
        <v>11.6745</v>
      </c>
      <c r="N824" s="9">
        <v>4.7850000000000001</v>
      </c>
      <c r="O824" s="9">
        <v>0.36199999999999999</v>
      </c>
      <c r="P824" s="9">
        <v>1.1791</v>
      </c>
      <c r="Q824" s="9">
        <v>19.053000000000001</v>
      </c>
      <c r="R824" s="9"/>
      <c r="S824" s="11"/>
    </row>
    <row r="825" spans="1:19" ht="15.75">
      <c r="A825" s="13">
        <v>66627</v>
      </c>
      <c r="B825" s="8">
        <f>CHOOSE( CONTROL!$C$32, 39.5614, 39.5559) * CHOOSE(CONTROL!$C$15, $D$11, 100%, $F$11)</f>
        <v>39.561399999999999</v>
      </c>
      <c r="C825" s="8">
        <f>CHOOSE( CONTROL!$C$32, 39.5695, 39.5639) * CHOOSE(CONTROL!$C$15, $D$11, 100%, $F$11)</f>
        <v>39.569499999999998</v>
      </c>
      <c r="D825" s="8">
        <f>CHOOSE( CONTROL!$C$32, 39.5955, 39.5899) * CHOOSE( CONTROL!$C$15, $D$11, 100%, $F$11)</f>
        <v>39.595500000000001</v>
      </c>
      <c r="E825" s="12">
        <f>CHOOSE( CONTROL!$C$32, 39.5848, 39.5793) * CHOOSE( CONTROL!$C$15, $D$11, 100%, $F$11)</f>
        <v>39.584800000000001</v>
      </c>
      <c r="F825" s="4">
        <f>CHOOSE( CONTROL!$C$32, 40.2738, 40.2682) * CHOOSE(CONTROL!$C$15, $D$11, 100%, $F$11)</f>
        <v>40.273800000000001</v>
      </c>
      <c r="G825" s="8">
        <f>CHOOSE( CONTROL!$C$32, 38.6255, 38.6201) * CHOOSE( CONTROL!$C$15, $D$11, 100%, $F$11)</f>
        <v>38.625500000000002</v>
      </c>
      <c r="H825" s="4">
        <f>CHOOSE( CONTROL!$C$32, 39.5704, 39.5649) * CHOOSE(CONTROL!$C$15, $D$11, 100%, $F$11)</f>
        <v>39.570399999999999</v>
      </c>
      <c r="I825" s="8">
        <f>CHOOSE( CONTROL!$C$32, 38.0849, 38.0796) * CHOOSE(CONTROL!$C$15, $D$11, 100%, $F$11)</f>
        <v>38.084899999999998</v>
      </c>
      <c r="J825" s="4">
        <f>CHOOSE( CONTROL!$C$32, 37.9537, 37.9484) * CHOOSE(CONTROL!$C$15, $D$11, 100%, $F$11)</f>
        <v>37.953699999999998</v>
      </c>
      <c r="K825" s="4"/>
      <c r="L825" s="9">
        <v>30.7165</v>
      </c>
      <c r="M825" s="9">
        <v>12.063700000000001</v>
      </c>
      <c r="N825" s="9">
        <v>4.9444999999999997</v>
      </c>
      <c r="O825" s="9">
        <v>0.37409999999999999</v>
      </c>
      <c r="P825" s="9">
        <v>1.2183999999999999</v>
      </c>
      <c r="Q825" s="9">
        <v>19.688099999999999</v>
      </c>
      <c r="R825" s="9"/>
      <c r="S825" s="11"/>
    </row>
    <row r="826" spans="1:19" ht="15.75">
      <c r="A826" s="13">
        <v>66657</v>
      </c>
      <c r="B826" s="8">
        <f>CHOOSE( CONTROL!$C$32, 38.9259, 38.9204) * CHOOSE(CONTROL!$C$15, $D$11, 100%, $F$11)</f>
        <v>38.925899999999999</v>
      </c>
      <c r="C826" s="8">
        <f>CHOOSE( CONTROL!$C$32, 38.934, 38.9285) * CHOOSE(CONTROL!$C$15, $D$11, 100%, $F$11)</f>
        <v>38.933999999999997</v>
      </c>
      <c r="D826" s="8">
        <f>CHOOSE( CONTROL!$C$32, 38.9602, 38.9546) * CHOOSE( CONTROL!$C$15, $D$11, 100%, $F$11)</f>
        <v>38.9602</v>
      </c>
      <c r="E826" s="12">
        <f>CHOOSE( CONTROL!$C$32, 38.9495, 38.9439) * CHOOSE( CONTROL!$C$15, $D$11, 100%, $F$11)</f>
        <v>38.9495</v>
      </c>
      <c r="F826" s="4">
        <f>CHOOSE( CONTROL!$C$32, 39.6383, 39.6328) * CHOOSE(CONTROL!$C$15, $D$11, 100%, $F$11)</f>
        <v>39.638300000000001</v>
      </c>
      <c r="G826" s="8">
        <f>CHOOSE( CONTROL!$C$32, 38.0051, 37.9996) * CHOOSE( CONTROL!$C$15, $D$11, 100%, $F$11)</f>
        <v>38.005099999999999</v>
      </c>
      <c r="H826" s="4">
        <f>CHOOSE( CONTROL!$C$32, 38.9497, 38.9442) * CHOOSE(CONTROL!$C$15, $D$11, 100%, $F$11)</f>
        <v>38.9497</v>
      </c>
      <c r="I826" s="8">
        <f>CHOOSE( CONTROL!$C$32, 37.4753, 37.47) * CHOOSE(CONTROL!$C$15, $D$11, 100%, $F$11)</f>
        <v>37.475299999999997</v>
      </c>
      <c r="J826" s="4">
        <f>CHOOSE( CONTROL!$C$32, 37.3436, 37.3382) * CHOOSE(CONTROL!$C$15, $D$11, 100%, $F$11)</f>
        <v>37.343600000000002</v>
      </c>
      <c r="K826" s="4"/>
      <c r="L826" s="9">
        <v>29.7257</v>
      </c>
      <c r="M826" s="9">
        <v>11.6745</v>
      </c>
      <c r="N826" s="9">
        <v>4.7850000000000001</v>
      </c>
      <c r="O826" s="9">
        <v>0.36199999999999999</v>
      </c>
      <c r="P826" s="9">
        <v>1.1791</v>
      </c>
      <c r="Q826" s="9">
        <v>19.053000000000001</v>
      </c>
      <c r="R826" s="9"/>
      <c r="S826" s="11"/>
    </row>
    <row r="827" spans="1:19" ht="15.75">
      <c r="A827" s="13">
        <v>66688</v>
      </c>
      <c r="B827" s="8">
        <f>CHOOSE( CONTROL!$C$32, 40.5994, 40.5938) * CHOOSE(CONTROL!$C$15, $D$11, 100%, $F$11)</f>
        <v>40.599400000000003</v>
      </c>
      <c r="C827" s="8">
        <f>CHOOSE( CONTROL!$C$32, 40.6075, 40.6019) * CHOOSE(CONTROL!$C$15, $D$11, 100%, $F$11)</f>
        <v>40.607500000000002</v>
      </c>
      <c r="D827" s="8">
        <f>CHOOSE( CONTROL!$C$32, 40.6338, 40.6282) * CHOOSE( CONTROL!$C$15, $D$11, 100%, $F$11)</f>
        <v>40.633800000000001</v>
      </c>
      <c r="E827" s="12">
        <f>CHOOSE( CONTROL!$C$32, 40.623, 40.6174) * CHOOSE( CONTROL!$C$15, $D$11, 100%, $F$11)</f>
        <v>40.622999999999998</v>
      </c>
      <c r="F827" s="4">
        <f>CHOOSE( CONTROL!$C$32, 41.3118, 41.3062) * CHOOSE(CONTROL!$C$15, $D$11, 100%, $F$11)</f>
        <v>41.311799999999998</v>
      </c>
      <c r="G827" s="8">
        <f>CHOOSE( CONTROL!$C$32, 39.6398, 39.6344) * CHOOSE( CONTROL!$C$15, $D$11, 100%, $F$11)</f>
        <v>39.639800000000001</v>
      </c>
      <c r="H827" s="4">
        <f>CHOOSE( CONTROL!$C$32, 40.5841, 40.5787) * CHOOSE(CONTROL!$C$15, $D$11, 100%, $F$11)</f>
        <v>40.584099999999999</v>
      </c>
      <c r="I827" s="8">
        <f>CHOOSE( CONTROL!$C$32, 39.0838, 39.0784) * CHOOSE(CONTROL!$C$15, $D$11, 100%, $F$11)</f>
        <v>39.083799999999997</v>
      </c>
      <c r="J827" s="4">
        <f>CHOOSE( CONTROL!$C$32, 38.9503, 38.9449) * CHOOSE(CONTROL!$C$15, $D$11, 100%, $F$11)</f>
        <v>38.950299999999999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1.2183999999999999</v>
      </c>
      <c r="Q827" s="9">
        <v>19.688099999999999</v>
      </c>
      <c r="R827" s="9"/>
      <c r="S827" s="11"/>
    </row>
    <row r="828" spans="1:19" ht="15.75">
      <c r="A828" s="13">
        <v>66719</v>
      </c>
      <c r="B828" s="8">
        <f>CHOOSE( CONTROL!$C$32, 37.4682, 37.4626) * CHOOSE(CONTROL!$C$15, $D$11, 100%, $F$11)</f>
        <v>37.468200000000003</v>
      </c>
      <c r="C828" s="8">
        <f>CHOOSE( CONTROL!$C$32, 37.4763, 37.4707) * CHOOSE(CONTROL!$C$15, $D$11, 100%, $F$11)</f>
        <v>37.476300000000002</v>
      </c>
      <c r="D828" s="8">
        <f>CHOOSE( CONTROL!$C$32, 37.5027, 37.4971) * CHOOSE( CONTROL!$C$15, $D$11, 100%, $F$11)</f>
        <v>37.502699999999997</v>
      </c>
      <c r="E828" s="12">
        <f>CHOOSE( CONTROL!$C$32, 37.4919, 37.4863) * CHOOSE( CONTROL!$C$15, $D$11, 100%, $F$11)</f>
        <v>37.491900000000001</v>
      </c>
      <c r="F828" s="4">
        <f>CHOOSE( CONTROL!$C$32, 38.1806, 38.175) * CHOOSE(CONTROL!$C$15, $D$11, 100%, $F$11)</f>
        <v>38.180599999999998</v>
      </c>
      <c r="G828" s="8">
        <f>CHOOSE( CONTROL!$C$32, 36.5817, 36.5762) * CHOOSE( CONTROL!$C$15, $D$11, 100%, $F$11)</f>
        <v>36.581699999999998</v>
      </c>
      <c r="H828" s="4">
        <f>CHOOSE( CONTROL!$C$32, 37.5259, 37.5205) * CHOOSE(CONTROL!$C$15, $D$11, 100%, $F$11)</f>
        <v>37.5259</v>
      </c>
      <c r="I828" s="8">
        <f>CHOOSE( CONTROL!$C$32, 36.0763, 36.0709) * CHOOSE(CONTROL!$C$15, $D$11, 100%, $F$11)</f>
        <v>36.076300000000003</v>
      </c>
      <c r="J828" s="4">
        <f>CHOOSE( CONTROL!$C$32, 35.944, 35.9386) * CHOOSE(CONTROL!$C$15, $D$11, 100%, $F$11)</f>
        <v>35.944000000000003</v>
      </c>
      <c r="K828" s="4"/>
      <c r="L828" s="9">
        <v>30.7165</v>
      </c>
      <c r="M828" s="9">
        <v>12.063700000000001</v>
      </c>
      <c r="N828" s="9">
        <v>4.9444999999999997</v>
      </c>
      <c r="O828" s="9">
        <v>0.37409999999999999</v>
      </c>
      <c r="P828" s="9">
        <v>1.2183999999999999</v>
      </c>
      <c r="Q828" s="9">
        <v>19.688099999999999</v>
      </c>
      <c r="R828" s="9"/>
      <c r="S828" s="11"/>
    </row>
    <row r="829" spans="1:19" ht="15.75">
      <c r="A829" s="13">
        <v>66749</v>
      </c>
      <c r="B829" s="8">
        <f>CHOOSE( CONTROL!$C$32, 36.6841, 36.6785) * CHOOSE(CONTROL!$C$15, $D$11, 100%, $F$11)</f>
        <v>36.684100000000001</v>
      </c>
      <c r="C829" s="8">
        <f>CHOOSE( CONTROL!$C$32, 36.6922, 36.6866) * CHOOSE(CONTROL!$C$15, $D$11, 100%, $F$11)</f>
        <v>36.6922</v>
      </c>
      <c r="D829" s="8">
        <f>CHOOSE( CONTROL!$C$32, 36.7185, 36.713) * CHOOSE( CONTROL!$C$15, $D$11, 100%, $F$11)</f>
        <v>36.718499999999999</v>
      </c>
      <c r="E829" s="12">
        <f>CHOOSE( CONTROL!$C$32, 36.7077, 36.7022) * CHOOSE( CONTROL!$C$15, $D$11, 100%, $F$11)</f>
        <v>36.707700000000003</v>
      </c>
      <c r="F829" s="4">
        <f>CHOOSE( CONTROL!$C$32, 37.3965, 37.3909) * CHOOSE(CONTROL!$C$15, $D$11, 100%, $F$11)</f>
        <v>37.396500000000003</v>
      </c>
      <c r="G829" s="8">
        <f>CHOOSE( CONTROL!$C$32, 35.8158, 35.8103) * CHOOSE( CONTROL!$C$15, $D$11, 100%, $F$11)</f>
        <v>35.815800000000003</v>
      </c>
      <c r="H829" s="4">
        <f>CHOOSE( CONTROL!$C$32, 36.7601, 36.7546) * CHOOSE(CONTROL!$C$15, $D$11, 100%, $F$11)</f>
        <v>36.760100000000001</v>
      </c>
      <c r="I829" s="8">
        <f>CHOOSE( CONTROL!$C$32, 35.3229, 35.3175) * CHOOSE(CONTROL!$C$15, $D$11, 100%, $F$11)</f>
        <v>35.322899999999997</v>
      </c>
      <c r="J829" s="4">
        <f>CHOOSE( CONTROL!$C$32, 35.1912, 35.1858) * CHOOSE(CONTROL!$C$15, $D$11, 100%, $F$11)</f>
        <v>35.191200000000002</v>
      </c>
      <c r="K829" s="4"/>
      <c r="L829" s="9">
        <v>29.7257</v>
      </c>
      <c r="M829" s="9">
        <v>11.6745</v>
      </c>
      <c r="N829" s="9">
        <v>4.7850000000000001</v>
      </c>
      <c r="O829" s="9">
        <v>0.36199999999999999</v>
      </c>
      <c r="P829" s="9">
        <v>1.1791</v>
      </c>
      <c r="Q829" s="9">
        <v>19.053000000000001</v>
      </c>
      <c r="R829" s="9"/>
      <c r="S829" s="11"/>
    </row>
    <row r="830" spans="1:19" ht="15.75">
      <c r="A830" s="13">
        <v>66780</v>
      </c>
      <c r="B830" s="8">
        <f>38.3049 * CHOOSE(CONTROL!$C$15, $D$11, 100%, $F$11)</f>
        <v>38.304900000000004</v>
      </c>
      <c r="C830" s="8">
        <f>38.3103 * CHOOSE(CONTROL!$C$15, $D$11, 100%, $F$11)</f>
        <v>38.310299999999998</v>
      </c>
      <c r="D830" s="8">
        <f>38.3415 * CHOOSE( CONTROL!$C$15, $D$11, 100%, $F$11)</f>
        <v>38.341500000000003</v>
      </c>
      <c r="E830" s="12">
        <f>38.3306 * CHOOSE( CONTROL!$C$15, $D$11, 100%, $F$11)</f>
        <v>38.330599999999997</v>
      </c>
      <c r="F830" s="4">
        <f>39.019 * CHOOSE(CONTROL!$C$15, $D$11, 100%, $F$11)</f>
        <v>39.018999999999998</v>
      </c>
      <c r="G830" s="8">
        <f>37.3996 * CHOOSE( CONTROL!$C$15, $D$11, 100%, $F$11)</f>
        <v>37.3996</v>
      </c>
      <c r="H830" s="4">
        <f>38.3447 * CHOOSE(CONTROL!$C$15, $D$11, 100%, $F$11)</f>
        <v>38.344700000000003</v>
      </c>
      <c r="I830" s="8">
        <f>36.8822 * CHOOSE(CONTROL!$C$15, $D$11, 100%, $F$11)</f>
        <v>36.882199999999997</v>
      </c>
      <c r="J830" s="4">
        <f>36.7489 * CHOOSE(CONTROL!$C$15, $D$11, 100%, $F$11)</f>
        <v>36.748899999999999</v>
      </c>
      <c r="K830" s="4"/>
      <c r="L830" s="9">
        <v>31.095300000000002</v>
      </c>
      <c r="M830" s="9">
        <v>12.063700000000001</v>
      </c>
      <c r="N830" s="9">
        <v>4.9444999999999997</v>
      </c>
      <c r="O830" s="9">
        <v>0.37409999999999999</v>
      </c>
      <c r="P830" s="9">
        <v>1.2183999999999999</v>
      </c>
      <c r="Q830" s="9">
        <v>19.688099999999999</v>
      </c>
      <c r="R830" s="9"/>
      <c r="S830" s="11"/>
    </row>
    <row r="831" spans="1:19" ht="15.75">
      <c r="A831" s="13">
        <v>66810</v>
      </c>
      <c r="B831" s="8">
        <f>41.3095 * CHOOSE(CONTROL!$C$15, $D$11, 100%, $F$11)</f>
        <v>41.3095</v>
      </c>
      <c r="C831" s="8">
        <f>41.3147 * CHOOSE(CONTROL!$C$15, $D$11, 100%, $F$11)</f>
        <v>41.314700000000002</v>
      </c>
      <c r="D831" s="8">
        <f>41.3009 * CHOOSE( CONTROL!$C$15, $D$11, 100%, $F$11)</f>
        <v>41.300899999999999</v>
      </c>
      <c r="E831" s="12">
        <f>41.3054 * CHOOSE( CONTROL!$C$15, $D$11, 100%, $F$11)</f>
        <v>41.305399999999999</v>
      </c>
      <c r="F831" s="4">
        <f>41.9599 * CHOOSE(CONTROL!$C$15, $D$11, 100%, $F$11)</f>
        <v>41.959899999999998</v>
      </c>
      <c r="G831" s="8">
        <f>40.3422 * CHOOSE( CONTROL!$C$15, $D$11, 100%, $F$11)</f>
        <v>40.342199999999998</v>
      </c>
      <c r="H831" s="4">
        <f>41.2172 * CHOOSE(CONTROL!$C$15, $D$11, 100%, $F$11)</f>
        <v>41.217199999999998</v>
      </c>
      <c r="I831" s="8">
        <f>39.8124 * CHOOSE(CONTROL!$C$15, $D$11, 100%, $F$11)</f>
        <v>39.812399999999997</v>
      </c>
      <c r="J831" s="4">
        <f>39.634 * CHOOSE(CONTROL!$C$15, $D$11, 100%, $F$11)</f>
        <v>39.634</v>
      </c>
      <c r="K831" s="4"/>
      <c r="L831" s="9">
        <v>28.360600000000002</v>
      </c>
      <c r="M831" s="9">
        <v>11.6745</v>
      </c>
      <c r="N831" s="9">
        <v>4.7850000000000001</v>
      </c>
      <c r="O831" s="9">
        <v>0.36199999999999999</v>
      </c>
      <c r="P831" s="9">
        <v>1.2509999999999999</v>
      </c>
      <c r="Q831" s="9">
        <v>19.053000000000001</v>
      </c>
      <c r="R831" s="9"/>
      <c r="S831" s="11"/>
    </row>
    <row r="832" spans="1:19" ht="15.75">
      <c r="A832" s="13">
        <v>66841</v>
      </c>
      <c r="B832" s="8">
        <f>41.2344 * CHOOSE(CONTROL!$C$15, $D$11, 100%, $F$11)</f>
        <v>41.234400000000001</v>
      </c>
      <c r="C832" s="8">
        <f>41.2396 * CHOOSE(CONTROL!$C$15, $D$11, 100%, $F$11)</f>
        <v>41.239600000000003</v>
      </c>
      <c r="D832" s="8">
        <f>41.2273 * CHOOSE( CONTROL!$C$15, $D$11, 100%, $F$11)</f>
        <v>41.2273</v>
      </c>
      <c r="E832" s="12">
        <f>41.2312 * CHOOSE( CONTROL!$C$15, $D$11, 100%, $F$11)</f>
        <v>41.231200000000001</v>
      </c>
      <c r="F832" s="4">
        <f>41.8849 * CHOOSE(CONTROL!$C$15, $D$11, 100%, $F$11)</f>
        <v>41.884900000000002</v>
      </c>
      <c r="G832" s="8">
        <f>40.27 * CHOOSE( CONTROL!$C$15, $D$11, 100%, $F$11)</f>
        <v>40.270000000000003</v>
      </c>
      <c r="H832" s="4">
        <f>41.1439 * CHOOSE(CONTROL!$C$15, $D$11, 100%, $F$11)</f>
        <v>41.143900000000002</v>
      </c>
      <c r="I832" s="8">
        <f>39.7451 * CHOOSE(CONTROL!$C$15, $D$11, 100%, $F$11)</f>
        <v>39.745100000000001</v>
      </c>
      <c r="J832" s="4">
        <f>39.562 * CHOOSE(CONTROL!$C$15, $D$11, 100%, $F$11)</f>
        <v>39.561999999999998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66872</v>
      </c>
      <c r="B833" s="8">
        <f>42.8093 * CHOOSE(CONTROL!$C$15, $D$11, 100%, $F$11)</f>
        <v>42.8093</v>
      </c>
      <c r="C833" s="8">
        <f>42.8145 * CHOOSE(CONTROL!$C$15, $D$11, 100%, $F$11)</f>
        <v>42.814500000000002</v>
      </c>
      <c r="D833" s="8">
        <f>42.7969 * CHOOSE( CONTROL!$C$15, $D$11, 100%, $F$11)</f>
        <v>42.796900000000001</v>
      </c>
      <c r="E833" s="12">
        <f>42.8028 * CHOOSE( CONTROL!$C$15, $D$11, 100%, $F$11)</f>
        <v>42.802799999999998</v>
      </c>
      <c r="F833" s="4">
        <f>43.4597 * CHOOSE(CONTROL!$C$15, $D$11, 100%, $F$11)</f>
        <v>43.459699999999998</v>
      </c>
      <c r="G833" s="8">
        <f>41.7981 * CHOOSE( CONTROL!$C$15, $D$11, 100%, $F$11)</f>
        <v>41.798099999999998</v>
      </c>
      <c r="H833" s="4">
        <f>42.6821 * CHOOSE(CONTROL!$C$15, $D$11, 100%, $F$11)</f>
        <v>42.682099999999998</v>
      </c>
      <c r="I833" s="8">
        <f>41.2177 * CHOOSE(CONTROL!$C$15, $D$11, 100%, $F$11)</f>
        <v>41.217700000000001</v>
      </c>
      <c r="J833" s="4">
        <f>41.074 * CHOOSE(CONTROL!$C$15, $D$11, 100%, $F$11)</f>
        <v>41.073999999999998</v>
      </c>
      <c r="K833" s="4"/>
      <c r="L833" s="9">
        <v>29.306000000000001</v>
      </c>
      <c r="M833" s="9">
        <v>12.063700000000001</v>
      </c>
      <c r="N833" s="9">
        <v>4.9444999999999997</v>
      </c>
      <c r="O833" s="9">
        <v>0.37409999999999999</v>
      </c>
      <c r="P833" s="9">
        <v>1.2927</v>
      </c>
      <c r="Q833" s="9">
        <v>19.688099999999999</v>
      </c>
      <c r="R833" s="9"/>
      <c r="S833" s="11"/>
    </row>
    <row r="834" spans="1:19" ht="15.75">
      <c r="A834" s="13">
        <v>66900</v>
      </c>
      <c r="B834" s="8">
        <f>40.0435 * CHOOSE(CONTROL!$C$15, $D$11, 100%, $F$11)</f>
        <v>40.043500000000002</v>
      </c>
      <c r="C834" s="8">
        <f>40.0487 * CHOOSE(CONTROL!$C$15, $D$11, 100%, $F$11)</f>
        <v>40.048699999999997</v>
      </c>
      <c r="D834" s="8">
        <f>40.0311 * CHOOSE( CONTROL!$C$15, $D$11, 100%, $F$11)</f>
        <v>40.031100000000002</v>
      </c>
      <c r="E834" s="12">
        <f>40.037 * CHOOSE( CONTROL!$C$15, $D$11, 100%, $F$11)</f>
        <v>40.036999999999999</v>
      </c>
      <c r="F834" s="4">
        <f>40.694 * CHOOSE(CONTROL!$C$15, $D$11, 100%, $F$11)</f>
        <v>40.694000000000003</v>
      </c>
      <c r="G834" s="8">
        <f>39.0968 * CHOOSE( CONTROL!$C$15, $D$11, 100%, $F$11)</f>
        <v>39.096800000000002</v>
      </c>
      <c r="H834" s="4">
        <f>39.9808 * CHOOSE(CONTROL!$C$15, $D$11, 100%, $F$11)</f>
        <v>39.980800000000002</v>
      </c>
      <c r="I834" s="8">
        <f>38.5609 * CHOOSE(CONTROL!$C$15, $D$11, 100%, $F$11)</f>
        <v>38.560899999999997</v>
      </c>
      <c r="J834" s="4">
        <f>38.4186 * CHOOSE(CONTROL!$C$15, $D$11, 100%, $F$11)</f>
        <v>38.418599999999998</v>
      </c>
      <c r="K834" s="4"/>
      <c r="L834" s="9">
        <v>26.469899999999999</v>
      </c>
      <c r="M834" s="9">
        <v>10.8962</v>
      </c>
      <c r="N834" s="9">
        <v>4.4660000000000002</v>
      </c>
      <c r="O834" s="9">
        <v>0.33789999999999998</v>
      </c>
      <c r="P834" s="9">
        <v>1.1676</v>
      </c>
      <c r="Q834" s="9">
        <v>17.782800000000002</v>
      </c>
      <c r="R834" s="9"/>
      <c r="S834" s="11"/>
    </row>
    <row r="835" spans="1:19" ht="15.75">
      <c r="A835" s="13">
        <v>66931</v>
      </c>
      <c r="B835" s="8">
        <f>39.1917 * CHOOSE(CONTROL!$C$15, $D$11, 100%, $F$11)</f>
        <v>39.191699999999997</v>
      </c>
      <c r="C835" s="8">
        <f>39.1969 * CHOOSE(CONTROL!$C$15, $D$11, 100%, $F$11)</f>
        <v>39.196899999999999</v>
      </c>
      <c r="D835" s="8">
        <f>39.1789 * CHOOSE( CONTROL!$C$15, $D$11, 100%, $F$11)</f>
        <v>39.178899999999999</v>
      </c>
      <c r="E835" s="12">
        <f>39.1849 * CHOOSE( CONTROL!$C$15, $D$11, 100%, $F$11)</f>
        <v>39.184899999999999</v>
      </c>
      <c r="F835" s="4">
        <f>39.8422 * CHOOSE(CONTROL!$C$15, $D$11, 100%, $F$11)</f>
        <v>39.842199999999998</v>
      </c>
      <c r="G835" s="8">
        <f>38.2645 * CHOOSE( CONTROL!$C$15, $D$11, 100%, $F$11)</f>
        <v>38.264499999999998</v>
      </c>
      <c r="H835" s="4">
        <f>39.1488 * CHOOSE(CONTROL!$C$15, $D$11, 100%, $F$11)</f>
        <v>39.148800000000001</v>
      </c>
      <c r="I835" s="8">
        <f>37.7414 * CHOOSE(CONTROL!$C$15, $D$11, 100%, $F$11)</f>
        <v>37.741399999999999</v>
      </c>
      <c r="J835" s="4">
        <f>37.6008 * CHOOSE(CONTROL!$C$15, $D$11, 100%, $F$11)</f>
        <v>37.6008</v>
      </c>
      <c r="K835" s="4"/>
      <c r="L835" s="9">
        <v>29.306000000000001</v>
      </c>
      <c r="M835" s="9">
        <v>12.063700000000001</v>
      </c>
      <c r="N835" s="9">
        <v>4.9444999999999997</v>
      </c>
      <c r="O835" s="9">
        <v>0.37409999999999999</v>
      </c>
      <c r="P835" s="9">
        <v>1.2927</v>
      </c>
      <c r="Q835" s="9">
        <v>19.688099999999999</v>
      </c>
      <c r="R835" s="9"/>
      <c r="S835" s="11"/>
    </row>
    <row r="836" spans="1:19" ht="15.75">
      <c r="A836" s="13">
        <v>66961</v>
      </c>
      <c r="B836" s="8">
        <f>39.7877 * CHOOSE(CONTROL!$C$15, $D$11, 100%, $F$11)</f>
        <v>39.787700000000001</v>
      </c>
      <c r="C836" s="8">
        <f>39.7923 * CHOOSE(CONTROL!$C$15, $D$11, 100%, $F$11)</f>
        <v>39.792299999999997</v>
      </c>
      <c r="D836" s="8">
        <f>39.8235 * CHOOSE( CONTROL!$C$15, $D$11, 100%, $F$11)</f>
        <v>39.823500000000003</v>
      </c>
      <c r="E836" s="12">
        <f>39.8127 * CHOOSE( CONTROL!$C$15, $D$11, 100%, $F$11)</f>
        <v>39.8127</v>
      </c>
      <c r="F836" s="4">
        <f>40.5015 * CHOOSE(CONTROL!$C$15, $D$11, 100%, $F$11)</f>
        <v>40.5015</v>
      </c>
      <c r="G836" s="8">
        <f>38.8467 * CHOOSE( CONTROL!$C$15, $D$11, 100%, $F$11)</f>
        <v>38.846699999999998</v>
      </c>
      <c r="H836" s="4">
        <f>39.7927 * CHOOSE(CONTROL!$C$15, $D$11, 100%, $F$11)</f>
        <v>39.792700000000004</v>
      </c>
      <c r="I836" s="8">
        <f>38.3037 * CHOOSE(CONTROL!$C$15, $D$11, 100%, $F$11)</f>
        <v>38.303699999999999</v>
      </c>
      <c r="J836" s="4">
        <f>38.1723 * CHOOSE(CONTROL!$C$15, $D$11, 100%, $F$11)</f>
        <v>38.1723</v>
      </c>
      <c r="K836" s="4"/>
      <c r="L836" s="9">
        <v>30.092199999999998</v>
      </c>
      <c r="M836" s="9">
        <v>11.6745</v>
      </c>
      <c r="N836" s="9">
        <v>4.7850000000000001</v>
      </c>
      <c r="O836" s="9">
        <v>0.36199999999999999</v>
      </c>
      <c r="P836" s="9">
        <v>1.1791</v>
      </c>
      <c r="Q836" s="9">
        <v>19.053000000000001</v>
      </c>
      <c r="R836" s="9"/>
      <c r="S836" s="11"/>
    </row>
    <row r="837" spans="1:19" ht="15.75">
      <c r="A837" s="13">
        <v>66992</v>
      </c>
      <c r="B837" s="8">
        <f>CHOOSE( CONTROL!$C$32, 40.854, 40.8485) * CHOOSE(CONTROL!$C$15, $D$11, 100%, $F$11)</f>
        <v>40.853999999999999</v>
      </c>
      <c r="C837" s="8">
        <f>CHOOSE( CONTROL!$C$32, 40.8621, 40.8566) * CHOOSE(CONTROL!$C$15, $D$11, 100%, $F$11)</f>
        <v>40.862099999999998</v>
      </c>
      <c r="D837" s="8">
        <f>CHOOSE( CONTROL!$C$32, 40.8881, 40.8825) * CHOOSE( CONTROL!$C$15, $D$11, 100%, $F$11)</f>
        <v>40.888100000000001</v>
      </c>
      <c r="E837" s="12">
        <f>CHOOSE( CONTROL!$C$32, 40.8774, 40.8719) * CHOOSE( CONTROL!$C$15, $D$11, 100%, $F$11)</f>
        <v>40.877400000000002</v>
      </c>
      <c r="F837" s="4">
        <f>CHOOSE( CONTROL!$C$32, 41.5664, 41.5609) * CHOOSE(CONTROL!$C$15, $D$11, 100%, $F$11)</f>
        <v>41.566400000000002</v>
      </c>
      <c r="G837" s="8">
        <f>CHOOSE( CONTROL!$C$32, 39.888, 39.8826) * CHOOSE( CONTROL!$C$15, $D$11, 100%, $F$11)</f>
        <v>39.887999999999998</v>
      </c>
      <c r="H837" s="4">
        <f>CHOOSE( CONTROL!$C$32, 40.8329, 40.8274) * CHOOSE(CONTROL!$C$15, $D$11, 100%, $F$11)</f>
        <v>40.832900000000002</v>
      </c>
      <c r="I837" s="8">
        <f>CHOOSE( CONTROL!$C$32, 39.3266, 39.3213) * CHOOSE(CONTROL!$C$15, $D$11, 100%, $F$11)</f>
        <v>39.326599999999999</v>
      </c>
      <c r="J837" s="4">
        <f>CHOOSE( CONTROL!$C$32, 39.1947, 39.1894) * CHOOSE(CONTROL!$C$15, $D$11, 100%, $F$11)</f>
        <v>39.194699999999997</v>
      </c>
      <c r="K837" s="4"/>
      <c r="L837" s="9">
        <v>30.7165</v>
      </c>
      <c r="M837" s="9">
        <v>12.063700000000001</v>
      </c>
      <c r="N837" s="9">
        <v>4.9444999999999997</v>
      </c>
      <c r="O837" s="9">
        <v>0.37409999999999999</v>
      </c>
      <c r="P837" s="9">
        <v>1.2183999999999999</v>
      </c>
      <c r="Q837" s="9">
        <v>19.688099999999999</v>
      </c>
      <c r="R837" s="9"/>
      <c r="S837" s="11"/>
    </row>
    <row r="838" spans="1:19" ht="15.75">
      <c r="A838" s="13">
        <v>67022</v>
      </c>
      <c r="B838" s="8">
        <f>CHOOSE( CONTROL!$C$32, 40.1978, 40.1922) * CHOOSE(CONTROL!$C$15, $D$11, 100%, $F$11)</f>
        <v>40.197800000000001</v>
      </c>
      <c r="C838" s="8">
        <f>CHOOSE( CONTROL!$C$32, 40.2059, 40.2003) * CHOOSE(CONTROL!$C$15, $D$11, 100%, $F$11)</f>
        <v>40.2059</v>
      </c>
      <c r="D838" s="8">
        <f>CHOOSE( CONTROL!$C$32, 40.232, 40.2264) * CHOOSE( CONTROL!$C$15, $D$11, 100%, $F$11)</f>
        <v>40.231999999999999</v>
      </c>
      <c r="E838" s="12">
        <f>CHOOSE( CONTROL!$C$32, 40.2213, 40.2157) * CHOOSE( CONTROL!$C$15, $D$11, 100%, $F$11)</f>
        <v>40.221299999999999</v>
      </c>
      <c r="F838" s="4">
        <f>CHOOSE( CONTROL!$C$32, 40.9102, 40.9046) * CHOOSE(CONTROL!$C$15, $D$11, 100%, $F$11)</f>
        <v>40.910200000000003</v>
      </c>
      <c r="G838" s="8">
        <f>CHOOSE( CONTROL!$C$32, 39.2473, 39.2418) * CHOOSE( CONTROL!$C$15, $D$11, 100%, $F$11)</f>
        <v>39.247300000000003</v>
      </c>
      <c r="H838" s="4">
        <f>CHOOSE( CONTROL!$C$32, 40.1919, 40.1865) * CHOOSE(CONTROL!$C$15, $D$11, 100%, $F$11)</f>
        <v>40.191899999999997</v>
      </c>
      <c r="I838" s="8">
        <f>CHOOSE( CONTROL!$C$32, 38.697, 38.6917) * CHOOSE(CONTROL!$C$15, $D$11, 100%, $F$11)</f>
        <v>38.697000000000003</v>
      </c>
      <c r="J838" s="4">
        <f>CHOOSE( CONTROL!$C$32, 38.5647, 38.5593) * CHOOSE(CONTROL!$C$15, $D$11, 100%, $F$11)</f>
        <v>38.564700000000002</v>
      </c>
      <c r="K838" s="4"/>
      <c r="L838" s="9">
        <v>29.7257</v>
      </c>
      <c r="M838" s="9">
        <v>11.6745</v>
      </c>
      <c r="N838" s="9">
        <v>4.7850000000000001</v>
      </c>
      <c r="O838" s="9">
        <v>0.36199999999999999</v>
      </c>
      <c r="P838" s="9">
        <v>1.1791</v>
      </c>
      <c r="Q838" s="9">
        <v>19.053000000000001</v>
      </c>
      <c r="R838" s="9"/>
      <c r="S838" s="11"/>
    </row>
    <row r="839" spans="1:19" ht="15.75">
      <c r="A839" s="13">
        <v>67053</v>
      </c>
      <c r="B839" s="8">
        <f>CHOOSE( CONTROL!$C$32, 41.926, 41.9204) * CHOOSE(CONTROL!$C$15, $D$11, 100%, $F$11)</f>
        <v>41.926000000000002</v>
      </c>
      <c r="C839" s="8">
        <f>CHOOSE( CONTROL!$C$32, 41.9341, 41.9285) * CHOOSE(CONTROL!$C$15, $D$11, 100%, $F$11)</f>
        <v>41.934100000000001</v>
      </c>
      <c r="D839" s="8">
        <f>CHOOSE( CONTROL!$C$32, 41.9604, 41.9548) * CHOOSE( CONTROL!$C$15, $D$11, 100%, $F$11)</f>
        <v>41.9604</v>
      </c>
      <c r="E839" s="12">
        <f>CHOOSE( CONTROL!$C$32, 41.9496, 41.944) * CHOOSE( CONTROL!$C$15, $D$11, 100%, $F$11)</f>
        <v>41.949599999999997</v>
      </c>
      <c r="F839" s="4">
        <f>CHOOSE( CONTROL!$C$32, 42.6384, 42.6328) * CHOOSE(CONTROL!$C$15, $D$11, 100%, $F$11)</f>
        <v>42.638399999999997</v>
      </c>
      <c r="G839" s="8">
        <f>CHOOSE( CONTROL!$C$32, 40.9355, 40.9301) * CHOOSE( CONTROL!$C$15, $D$11, 100%, $F$11)</f>
        <v>40.935499999999998</v>
      </c>
      <c r="H839" s="4">
        <f>CHOOSE( CONTROL!$C$32, 41.8798, 41.8744) * CHOOSE(CONTROL!$C$15, $D$11, 100%, $F$11)</f>
        <v>41.879800000000003</v>
      </c>
      <c r="I839" s="8">
        <f>CHOOSE( CONTROL!$C$32, 40.358, 40.3527) * CHOOSE(CONTROL!$C$15, $D$11, 100%, $F$11)</f>
        <v>40.357999999999997</v>
      </c>
      <c r="J839" s="4">
        <f>CHOOSE( CONTROL!$C$32, 40.2239, 40.2185) * CHOOSE(CONTROL!$C$15, $D$11, 100%, $F$11)</f>
        <v>40.2239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1.2183999999999999</v>
      </c>
      <c r="Q839" s="9">
        <v>19.688099999999999</v>
      </c>
      <c r="R839" s="9"/>
      <c r="S839" s="11"/>
    </row>
    <row r="840" spans="1:19" ht="15.75">
      <c r="A840" s="13">
        <v>67084</v>
      </c>
      <c r="B840" s="8">
        <f>CHOOSE( CONTROL!$C$32, 38.6924, 38.6868) * CHOOSE(CONTROL!$C$15, $D$11, 100%, $F$11)</f>
        <v>38.692399999999999</v>
      </c>
      <c r="C840" s="8">
        <f>CHOOSE( CONTROL!$C$32, 38.7005, 38.6949) * CHOOSE(CONTROL!$C$15, $D$11, 100%, $F$11)</f>
        <v>38.700499999999998</v>
      </c>
      <c r="D840" s="8">
        <f>CHOOSE( CONTROL!$C$32, 38.7269, 38.7213) * CHOOSE( CONTROL!$C$15, $D$11, 100%, $F$11)</f>
        <v>38.726900000000001</v>
      </c>
      <c r="E840" s="12">
        <f>CHOOSE( CONTROL!$C$32, 38.7161, 38.7105) * CHOOSE( CONTROL!$C$15, $D$11, 100%, $F$11)</f>
        <v>38.716099999999997</v>
      </c>
      <c r="F840" s="4">
        <f>CHOOSE( CONTROL!$C$32, 39.4048, 39.3992) * CHOOSE(CONTROL!$C$15, $D$11, 100%, $F$11)</f>
        <v>39.404800000000002</v>
      </c>
      <c r="G840" s="8">
        <f>CHOOSE( CONTROL!$C$32, 37.7773, 37.7719) * CHOOSE( CONTROL!$C$15, $D$11, 100%, $F$11)</f>
        <v>37.777299999999997</v>
      </c>
      <c r="H840" s="4">
        <f>CHOOSE( CONTROL!$C$32, 38.7215, 38.7161) * CHOOSE(CONTROL!$C$15, $D$11, 100%, $F$11)</f>
        <v>38.721499999999999</v>
      </c>
      <c r="I840" s="8">
        <f>CHOOSE( CONTROL!$C$32, 37.2522, 37.2469) * CHOOSE(CONTROL!$C$15, $D$11, 100%, $F$11)</f>
        <v>37.252200000000002</v>
      </c>
      <c r="J840" s="4">
        <f>CHOOSE( CONTROL!$C$32, 37.1193, 37.114) * CHOOSE(CONTROL!$C$15, $D$11, 100%, $F$11)</f>
        <v>37.119300000000003</v>
      </c>
      <c r="K840" s="4"/>
      <c r="L840" s="9">
        <v>30.7165</v>
      </c>
      <c r="M840" s="9">
        <v>12.063700000000001</v>
      </c>
      <c r="N840" s="9">
        <v>4.9444999999999997</v>
      </c>
      <c r="O840" s="9">
        <v>0.37409999999999999</v>
      </c>
      <c r="P840" s="9">
        <v>1.2183999999999999</v>
      </c>
      <c r="Q840" s="9">
        <v>19.688099999999999</v>
      </c>
      <c r="R840" s="9"/>
      <c r="S840" s="11"/>
    </row>
    <row r="841" spans="1:19" ht="15.75">
      <c r="A841" s="13">
        <v>67114</v>
      </c>
      <c r="B841" s="8">
        <f>CHOOSE( CONTROL!$C$32, 37.8826, 37.8771) * CHOOSE(CONTROL!$C$15, $D$11, 100%, $F$11)</f>
        <v>37.882599999999996</v>
      </c>
      <c r="C841" s="8">
        <f>CHOOSE( CONTROL!$C$32, 37.8907, 37.8852) * CHOOSE(CONTROL!$C$15, $D$11, 100%, $F$11)</f>
        <v>37.890700000000002</v>
      </c>
      <c r="D841" s="8">
        <f>CHOOSE( CONTROL!$C$32, 37.9171, 37.9115) * CHOOSE( CONTROL!$C$15, $D$11, 100%, $F$11)</f>
        <v>37.917099999999998</v>
      </c>
      <c r="E841" s="12">
        <f>CHOOSE( CONTROL!$C$32, 37.9063, 37.9007) * CHOOSE( CONTROL!$C$15, $D$11, 100%, $F$11)</f>
        <v>37.906300000000002</v>
      </c>
      <c r="F841" s="4">
        <f>CHOOSE( CONTROL!$C$32, 38.595, 38.5895) * CHOOSE(CONTROL!$C$15, $D$11, 100%, $F$11)</f>
        <v>38.594999999999999</v>
      </c>
      <c r="G841" s="8">
        <f>CHOOSE( CONTROL!$C$32, 36.9864, 36.9809) * CHOOSE( CONTROL!$C$15, $D$11, 100%, $F$11)</f>
        <v>36.986400000000003</v>
      </c>
      <c r="H841" s="4">
        <f>CHOOSE( CONTROL!$C$32, 37.9307, 37.9252) * CHOOSE(CONTROL!$C$15, $D$11, 100%, $F$11)</f>
        <v>37.930700000000002</v>
      </c>
      <c r="I841" s="8">
        <f>CHOOSE( CONTROL!$C$32, 36.4742, 36.4688) * CHOOSE(CONTROL!$C$15, $D$11, 100%, $F$11)</f>
        <v>36.474200000000003</v>
      </c>
      <c r="J841" s="4">
        <f>CHOOSE( CONTROL!$C$32, 36.3419, 36.3365) * CHOOSE(CONTROL!$C$15, $D$11, 100%, $F$11)</f>
        <v>36.341900000000003</v>
      </c>
      <c r="K841" s="4"/>
      <c r="L841" s="9">
        <v>29.7257</v>
      </c>
      <c r="M841" s="9">
        <v>11.6745</v>
      </c>
      <c r="N841" s="9">
        <v>4.7850000000000001</v>
      </c>
      <c r="O841" s="9">
        <v>0.36199999999999999</v>
      </c>
      <c r="P841" s="9">
        <v>1.1791</v>
      </c>
      <c r="Q841" s="9">
        <v>19.053000000000001</v>
      </c>
      <c r="R841" s="9"/>
      <c r="S841" s="11"/>
    </row>
    <row r="842" spans="1:19" ht="15.75">
      <c r="A842" s="13">
        <v>67145</v>
      </c>
      <c r="B842" s="8">
        <f>39.5566 * CHOOSE(CONTROL!$C$15, $D$11, 100%, $F$11)</f>
        <v>39.556600000000003</v>
      </c>
      <c r="C842" s="8">
        <f>39.5621 * CHOOSE(CONTROL!$C$15, $D$11, 100%, $F$11)</f>
        <v>39.562100000000001</v>
      </c>
      <c r="D842" s="8">
        <f>39.5932 * CHOOSE( CONTROL!$C$15, $D$11, 100%, $F$11)</f>
        <v>39.593200000000003</v>
      </c>
      <c r="E842" s="12">
        <f>39.5823 * CHOOSE( CONTROL!$C$15, $D$11, 100%, $F$11)</f>
        <v>39.582299999999996</v>
      </c>
      <c r="F842" s="4">
        <f>40.2707 * CHOOSE(CONTROL!$C$15, $D$11, 100%, $F$11)</f>
        <v>40.270699999999998</v>
      </c>
      <c r="G842" s="8">
        <f>38.6222 * CHOOSE( CONTROL!$C$15, $D$11, 100%, $F$11)</f>
        <v>38.622199999999999</v>
      </c>
      <c r="H842" s="4">
        <f>39.5673 * CHOOSE(CONTROL!$C$15, $D$11, 100%, $F$11)</f>
        <v>39.567300000000003</v>
      </c>
      <c r="I842" s="8">
        <f>38.0847 * CHOOSE(CONTROL!$C$15, $D$11, 100%, $F$11)</f>
        <v>38.084699999999998</v>
      </c>
      <c r="J842" s="4">
        <f>37.9507 * CHOOSE(CONTROL!$C$15, $D$11, 100%, $F$11)</f>
        <v>37.950699999999998</v>
      </c>
      <c r="K842" s="4"/>
      <c r="L842" s="9">
        <v>31.095300000000002</v>
      </c>
      <c r="M842" s="9">
        <v>12.063700000000001</v>
      </c>
      <c r="N842" s="9">
        <v>4.9444999999999997</v>
      </c>
      <c r="O842" s="9">
        <v>0.37409999999999999</v>
      </c>
      <c r="P842" s="9">
        <v>1.2183999999999999</v>
      </c>
      <c r="Q842" s="9">
        <v>19.688099999999999</v>
      </c>
      <c r="R842" s="9"/>
      <c r="S842" s="11"/>
    </row>
    <row r="843" spans="1:19" ht="15.75">
      <c r="A843" s="13">
        <v>67175</v>
      </c>
      <c r="B843" s="8">
        <f>42.6595 * CHOOSE(CONTROL!$C$15, $D$11, 100%, $F$11)</f>
        <v>42.659500000000001</v>
      </c>
      <c r="C843" s="8">
        <f>42.6647 * CHOOSE(CONTROL!$C$15, $D$11, 100%, $F$11)</f>
        <v>42.664700000000003</v>
      </c>
      <c r="D843" s="8">
        <f>42.6509 * CHOOSE( CONTROL!$C$15, $D$11, 100%, $F$11)</f>
        <v>42.6509</v>
      </c>
      <c r="E843" s="12">
        <f>42.6554 * CHOOSE( CONTROL!$C$15, $D$11, 100%, $F$11)</f>
        <v>42.6554</v>
      </c>
      <c r="F843" s="4">
        <f>43.31 * CHOOSE(CONTROL!$C$15, $D$11, 100%, $F$11)</f>
        <v>43.31</v>
      </c>
      <c r="G843" s="8">
        <f>41.6608 * CHOOSE( CONTROL!$C$15, $D$11, 100%, $F$11)</f>
        <v>41.660800000000002</v>
      </c>
      <c r="H843" s="4">
        <f>42.5358 * CHOOSE(CONTROL!$C$15, $D$11, 100%, $F$11)</f>
        <v>42.535800000000002</v>
      </c>
      <c r="I843" s="8">
        <f>41.1093 * CHOOSE(CONTROL!$C$15, $D$11, 100%, $F$11)</f>
        <v>41.109299999999998</v>
      </c>
      <c r="J843" s="4">
        <f>40.9302 * CHOOSE(CONTROL!$C$15, $D$11, 100%, $F$11)</f>
        <v>40.930199999999999</v>
      </c>
      <c r="K843" s="4"/>
      <c r="L843" s="9">
        <v>28.360600000000002</v>
      </c>
      <c r="M843" s="9">
        <v>11.6745</v>
      </c>
      <c r="N843" s="9">
        <v>4.7850000000000001</v>
      </c>
      <c r="O843" s="9">
        <v>0.36199999999999999</v>
      </c>
      <c r="P843" s="9">
        <v>1.2509999999999999</v>
      </c>
      <c r="Q843" s="9">
        <v>19.053000000000001</v>
      </c>
      <c r="R843" s="9"/>
      <c r="S843" s="11"/>
    </row>
    <row r="844" spans="1:19" ht="15.75">
      <c r="A844" s="13">
        <v>67206</v>
      </c>
      <c r="B844" s="8">
        <f>42.582 * CHOOSE(CONTROL!$C$15, $D$11, 100%, $F$11)</f>
        <v>42.582000000000001</v>
      </c>
      <c r="C844" s="8">
        <f>42.5872 * CHOOSE(CONTROL!$C$15, $D$11, 100%, $F$11)</f>
        <v>42.587200000000003</v>
      </c>
      <c r="D844" s="8">
        <f>42.5749 * CHOOSE( CONTROL!$C$15, $D$11, 100%, $F$11)</f>
        <v>42.5749</v>
      </c>
      <c r="E844" s="12">
        <f>42.5788 * CHOOSE( CONTROL!$C$15, $D$11, 100%, $F$11)</f>
        <v>42.578800000000001</v>
      </c>
      <c r="F844" s="4">
        <f>43.2325 * CHOOSE(CONTROL!$C$15, $D$11, 100%, $F$11)</f>
        <v>43.232500000000002</v>
      </c>
      <c r="G844" s="8">
        <f>41.5862 * CHOOSE( CONTROL!$C$15, $D$11, 100%, $F$11)</f>
        <v>41.586199999999998</v>
      </c>
      <c r="H844" s="4">
        <f>42.4601 * CHOOSE(CONTROL!$C$15, $D$11, 100%, $F$11)</f>
        <v>42.460099999999997</v>
      </c>
      <c r="I844" s="8">
        <f>41.0395 * CHOOSE(CONTROL!$C$15, $D$11, 100%, $F$11)</f>
        <v>41.039499999999997</v>
      </c>
      <c r="J844" s="4">
        <f>40.8558 * CHOOSE(CONTROL!$C$15, $D$11, 100%, $F$11)</f>
        <v>40.855800000000002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67237</v>
      </c>
      <c r="B845" s="8">
        <f>44.2084 * CHOOSE(CONTROL!$C$15, $D$11, 100%, $F$11)</f>
        <v>44.208399999999997</v>
      </c>
      <c r="C845" s="8">
        <f>44.2135 * CHOOSE(CONTROL!$C$15, $D$11, 100%, $F$11)</f>
        <v>44.213500000000003</v>
      </c>
      <c r="D845" s="8">
        <f>44.196 * CHOOSE( CONTROL!$C$15, $D$11, 100%, $F$11)</f>
        <v>44.195999999999998</v>
      </c>
      <c r="E845" s="12">
        <f>44.2019 * CHOOSE( CONTROL!$C$15, $D$11, 100%, $F$11)</f>
        <v>44.201900000000002</v>
      </c>
      <c r="F845" s="4">
        <f>44.8588 * CHOOSE(CONTROL!$C$15, $D$11, 100%, $F$11)</f>
        <v>44.858800000000002</v>
      </c>
      <c r="G845" s="8">
        <f>43.1646 * CHOOSE( CONTROL!$C$15, $D$11, 100%, $F$11)</f>
        <v>43.1646</v>
      </c>
      <c r="H845" s="4">
        <f>44.0486 * CHOOSE(CONTROL!$C$15, $D$11, 100%, $F$11)</f>
        <v>44.0486</v>
      </c>
      <c r="I845" s="8">
        <f>42.5617 * CHOOSE(CONTROL!$C$15, $D$11, 100%, $F$11)</f>
        <v>42.561700000000002</v>
      </c>
      <c r="J845" s="4">
        <f>42.4173 * CHOOSE(CONTROL!$C$15, $D$11, 100%, $F$11)</f>
        <v>42.417299999999997</v>
      </c>
      <c r="K845" s="4"/>
      <c r="L845" s="9">
        <v>29.306000000000001</v>
      </c>
      <c r="M845" s="9">
        <v>12.063700000000001</v>
      </c>
      <c r="N845" s="9">
        <v>4.9444999999999997</v>
      </c>
      <c r="O845" s="9">
        <v>0.37409999999999999</v>
      </c>
      <c r="P845" s="9">
        <v>1.2927</v>
      </c>
      <c r="Q845" s="9">
        <v>19.688099999999999</v>
      </c>
      <c r="R845" s="9"/>
      <c r="S845" s="11"/>
    </row>
    <row r="846" spans="1:19" ht="15.75">
      <c r="A846" s="13">
        <v>67266</v>
      </c>
      <c r="B846" s="8">
        <f>41.3522 * CHOOSE(CONTROL!$C$15, $D$11, 100%, $F$11)</f>
        <v>41.352200000000003</v>
      </c>
      <c r="C846" s="8">
        <f>41.3574 * CHOOSE(CONTROL!$C$15, $D$11, 100%, $F$11)</f>
        <v>41.357399999999998</v>
      </c>
      <c r="D846" s="8">
        <f>41.3398 * CHOOSE( CONTROL!$C$15, $D$11, 100%, $F$11)</f>
        <v>41.339799999999997</v>
      </c>
      <c r="E846" s="12">
        <f>41.3457 * CHOOSE( CONTROL!$C$15, $D$11, 100%, $F$11)</f>
        <v>41.345700000000001</v>
      </c>
      <c r="F846" s="4">
        <f>42.0027 * CHOOSE(CONTROL!$C$15, $D$11, 100%, $F$11)</f>
        <v>42.002699999999997</v>
      </c>
      <c r="G846" s="8">
        <f>40.3749 * CHOOSE( CONTROL!$C$15, $D$11, 100%, $F$11)</f>
        <v>40.374899999999997</v>
      </c>
      <c r="H846" s="4">
        <f>41.2589 * CHOOSE(CONTROL!$C$15, $D$11, 100%, $F$11)</f>
        <v>41.258899999999997</v>
      </c>
      <c r="I846" s="8">
        <f>39.8179 * CHOOSE(CONTROL!$C$15, $D$11, 100%, $F$11)</f>
        <v>39.817900000000002</v>
      </c>
      <c r="J846" s="4">
        <f>39.6751 * CHOOSE(CONTROL!$C$15, $D$11, 100%, $F$11)</f>
        <v>39.6751</v>
      </c>
      <c r="K846" s="4"/>
      <c r="L846" s="9">
        <v>27.415299999999998</v>
      </c>
      <c r="M846" s="9">
        <v>11.285299999999999</v>
      </c>
      <c r="N846" s="9">
        <v>4.6254999999999997</v>
      </c>
      <c r="O846" s="9">
        <v>0.34989999999999999</v>
      </c>
      <c r="P846" s="9">
        <v>1.2093</v>
      </c>
      <c r="Q846" s="9">
        <v>18.417899999999999</v>
      </c>
      <c r="R846" s="9"/>
      <c r="S846" s="11"/>
    </row>
    <row r="847" spans="1:19" ht="15.75">
      <c r="A847" s="13">
        <v>67297</v>
      </c>
      <c r="B847" s="8">
        <f>40.4725 * CHOOSE(CONTROL!$C$15, $D$11, 100%, $F$11)</f>
        <v>40.472499999999997</v>
      </c>
      <c r="C847" s="8">
        <f>40.4777 * CHOOSE(CONTROL!$C$15, $D$11, 100%, $F$11)</f>
        <v>40.477699999999999</v>
      </c>
      <c r="D847" s="8">
        <f>40.4597 * CHOOSE( CONTROL!$C$15, $D$11, 100%, $F$11)</f>
        <v>40.459699999999998</v>
      </c>
      <c r="E847" s="12">
        <f>40.4657 * CHOOSE( CONTROL!$C$15, $D$11, 100%, $F$11)</f>
        <v>40.465699999999998</v>
      </c>
      <c r="F847" s="4">
        <f>41.123 * CHOOSE(CONTROL!$C$15, $D$11, 100%, $F$11)</f>
        <v>41.122999999999998</v>
      </c>
      <c r="G847" s="8">
        <f>39.5155 * CHOOSE( CONTROL!$C$15, $D$11, 100%, $F$11)</f>
        <v>39.515500000000003</v>
      </c>
      <c r="H847" s="4">
        <f>40.3997 * CHOOSE(CONTROL!$C$15, $D$11, 100%, $F$11)</f>
        <v>40.399700000000003</v>
      </c>
      <c r="I847" s="8">
        <f>38.9717 * CHOOSE(CONTROL!$C$15, $D$11, 100%, $F$11)</f>
        <v>38.971699999999998</v>
      </c>
      <c r="J847" s="4">
        <f>38.8305 * CHOOSE(CONTROL!$C$15, $D$11, 100%, $F$11)</f>
        <v>38.830500000000001</v>
      </c>
      <c r="K847" s="4"/>
      <c r="L847" s="9">
        <v>29.306000000000001</v>
      </c>
      <c r="M847" s="9">
        <v>12.063700000000001</v>
      </c>
      <c r="N847" s="9">
        <v>4.9444999999999997</v>
      </c>
      <c r="O847" s="9">
        <v>0.37409999999999999</v>
      </c>
      <c r="P847" s="9">
        <v>1.2927</v>
      </c>
      <c r="Q847" s="9">
        <v>19.688099999999999</v>
      </c>
      <c r="R847" s="9"/>
      <c r="S847" s="11"/>
    </row>
    <row r="848" spans="1:19" ht="15.75">
      <c r="A848" s="13">
        <v>67327</v>
      </c>
      <c r="B848" s="8">
        <f>41.088 * CHOOSE(CONTROL!$C$15, $D$11, 100%, $F$11)</f>
        <v>41.088000000000001</v>
      </c>
      <c r="C848" s="8">
        <f>41.0926 * CHOOSE(CONTROL!$C$15, $D$11, 100%, $F$11)</f>
        <v>41.092599999999997</v>
      </c>
      <c r="D848" s="8">
        <f>41.1237 * CHOOSE( CONTROL!$C$15, $D$11, 100%, $F$11)</f>
        <v>41.123699999999999</v>
      </c>
      <c r="E848" s="12">
        <f>41.1129 * CHOOSE( CONTROL!$C$15, $D$11, 100%, $F$11)</f>
        <v>41.112900000000003</v>
      </c>
      <c r="F848" s="4">
        <f>41.8017 * CHOOSE(CONTROL!$C$15, $D$11, 100%, $F$11)</f>
        <v>41.801699999999997</v>
      </c>
      <c r="G848" s="8">
        <f>40.1167 * CHOOSE( CONTROL!$C$15, $D$11, 100%, $F$11)</f>
        <v>40.116700000000002</v>
      </c>
      <c r="H848" s="4">
        <f>41.0627 * CHOOSE(CONTROL!$C$15, $D$11, 100%, $F$11)</f>
        <v>41.0627</v>
      </c>
      <c r="I848" s="8">
        <f>39.5527 * CHOOSE(CONTROL!$C$15, $D$11, 100%, $F$11)</f>
        <v>39.552700000000002</v>
      </c>
      <c r="J848" s="4">
        <f>39.4207 * CHOOSE(CONTROL!$C$15, $D$11, 100%, $F$11)</f>
        <v>39.420699999999997</v>
      </c>
      <c r="K848" s="4"/>
      <c r="L848" s="9">
        <v>30.092199999999998</v>
      </c>
      <c r="M848" s="9">
        <v>11.6745</v>
      </c>
      <c r="N848" s="9">
        <v>4.7850000000000001</v>
      </c>
      <c r="O848" s="9">
        <v>0.36199999999999999</v>
      </c>
      <c r="P848" s="9">
        <v>1.1791</v>
      </c>
      <c r="Q848" s="9">
        <v>19.053000000000001</v>
      </c>
      <c r="R848" s="9"/>
      <c r="S848" s="11"/>
    </row>
    <row r="849" spans="1:19" ht="15.75">
      <c r="A849" s="13">
        <v>67358</v>
      </c>
      <c r="B849" s="8">
        <f>CHOOSE( CONTROL!$C$32, 42.189, 42.1834) * CHOOSE(CONTROL!$C$15, $D$11, 100%, $F$11)</f>
        <v>42.189</v>
      </c>
      <c r="C849" s="8">
        <f>CHOOSE( CONTROL!$C$32, 42.197, 42.1915) * CHOOSE(CONTROL!$C$15, $D$11, 100%, $F$11)</f>
        <v>42.197000000000003</v>
      </c>
      <c r="D849" s="8">
        <f>CHOOSE( CONTROL!$C$32, 42.223, 42.2174) * CHOOSE( CONTROL!$C$15, $D$11, 100%, $F$11)</f>
        <v>42.222999999999999</v>
      </c>
      <c r="E849" s="12">
        <f>CHOOSE( CONTROL!$C$32, 42.2124, 42.2068) * CHOOSE( CONTROL!$C$15, $D$11, 100%, $F$11)</f>
        <v>42.212400000000002</v>
      </c>
      <c r="F849" s="4">
        <f>CHOOSE( CONTROL!$C$32, 42.9013, 42.8958) * CHOOSE(CONTROL!$C$15, $D$11, 100%, $F$11)</f>
        <v>42.901299999999999</v>
      </c>
      <c r="G849" s="8">
        <f>CHOOSE( CONTROL!$C$32, 41.1918, 41.1864) * CHOOSE( CONTROL!$C$15, $D$11, 100%, $F$11)</f>
        <v>41.191800000000001</v>
      </c>
      <c r="H849" s="4">
        <f>CHOOSE( CONTROL!$C$32, 42.1367, 42.1312) * CHOOSE(CONTROL!$C$15, $D$11, 100%, $F$11)</f>
        <v>42.136699999999998</v>
      </c>
      <c r="I849" s="8">
        <f>CHOOSE( CONTROL!$C$32, 40.6089, 40.6036) * CHOOSE(CONTROL!$C$15, $D$11, 100%, $F$11)</f>
        <v>40.608899999999998</v>
      </c>
      <c r="J849" s="4">
        <f>CHOOSE( CONTROL!$C$32, 40.4764, 40.471) * CHOOSE(CONTROL!$C$15, $D$11, 100%, $F$11)</f>
        <v>40.476399999999998</v>
      </c>
      <c r="K849" s="4"/>
      <c r="L849" s="9">
        <v>30.7165</v>
      </c>
      <c r="M849" s="9">
        <v>12.063700000000001</v>
      </c>
      <c r="N849" s="9">
        <v>4.9444999999999997</v>
      </c>
      <c r="O849" s="9">
        <v>0.37409999999999999</v>
      </c>
      <c r="P849" s="9">
        <v>1.2183999999999999</v>
      </c>
      <c r="Q849" s="9">
        <v>19.688099999999999</v>
      </c>
      <c r="R849" s="9"/>
      <c r="S849" s="11"/>
    </row>
    <row r="850" spans="1:19" ht="15.75">
      <c r="A850" s="13">
        <v>67388</v>
      </c>
      <c r="B850" s="8">
        <f>CHOOSE( CONTROL!$C$32, 41.5112, 41.5057) * CHOOSE(CONTROL!$C$15, $D$11, 100%, $F$11)</f>
        <v>41.511200000000002</v>
      </c>
      <c r="C850" s="8">
        <f>CHOOSE( CONTROL!$C$32, 41.5193, 41.5137) * CHOOSE(CONTROL!$C$15, $D$11, 100%, $F$11)</f>
        <v>41.519300000000001</v>
      </c>
      <c r="D850" s="8">
        <f>CHOOSE( CONTROL!$C$32, 41.5455, 41.5399) * CHOOSE( CONTROL!$C$15, $D$11, 100%, $F$11)</f>
        <v>41.545499999999997</v>
      </c>
      <c r="E850" s="12">
        <f>CHOOSE( CONTROL!$C$32, 41.5348, 41.5292) * CHOOSE( CONTROL!$C$15, $D$11, 100%, $F$11)</f>
        <v>41.534799999999997</v>
      </c>
      <c r="F850" s="4">
        <f>CHOOSE( CONTROL!$C$32, 42.2236, 42.2181) * CHOOSE(CONTROL!$C$15, $D$11, 100%, $F$11)</f>
        <v>42.223599999999998</v>
      </c>
      <c r="G850" s="8">
        <f>CHOOSE( CONTROL!$C$32, 40.5301, 40.5247) * CHOOSE( CONTROL!$C$15, $D$11, 100%, $F$11)</f>
        <v>40.530099999999997</v>
      </c>
      <c r="H850" s="4">
        <f>CHOOSE( CONTROL!$C$32, 41.4747, 41.4693) * CHOOSE(CONTROL!$C$15, $D$11, 100%, $F$11)</f>
        <v>41.474699999999999</v>
      </c>
      <c r="I850" s="8">
        <f>CHOOSE( CONTROL!$C$32, 39.9587, 39.9534) * CHOOSE(CONTROL!$C$15, $D$11, 100%, $F$11)</f>
        <v>39.9587</v>
      </c>
      <c r="J850" s="4">
        <f>CHOOSE( CONTROL!$C$32, 39.8257, 39.8204) * CHOOSE(CONTROL!$C$15, $D$11, 100%, $F$11)</f>
        <v>39.825699999999998</v>
      </c>
      <c r="K850" s="4"/>
      <c r="L850" s="9">
        <v>29.7257</v>
      </c>
      <c r="M850" s="9">
        <v>11.6745</v>
      </c>
      <c r="N850" s="9">
        <v>4.7850000000000001</v>
      </c>
      <c r="O850" s="9">
        <v>0.36199999999999999</v>
      </c>
      <c r="P850" s="9">
        <v>1.1791</v>
      </c>
      <c r="Q850" s="9">
        <v>19.053000000000001</v>
      </c>
      <c r="R850" s="9"/>
      <c r="S850" s="11"/>
    </row>
    <row r="851" spans="1:19" ht="15.75">
      <c r="A851" s="13">
        <v>67419</v>
      </c>
      <c r="B851" s="8">
        <f>CHOOSE( CONTROL!$C$32, 43.2959, 43.2904) * CHOOSE(CONTROL!$C$15, $D$11, 100%, $F$11)</f>
        <v>43.295900000000003</v>
      </c>
      <c r="C851" s="8">
        <f>CHOOSE( CONTROL!$C$32, 43.304, 43.2984) * CHOOSE(CONTROL!$C$15, $D$11, 100%, $F$11)</f>
        <v>43.304000000000002</v>
      </c>
      <c r="D851" s="8">
        <f>CHOOSE( CONTROL!$C$32, 43.3303, 43.3248) * CHOOSE( CONTROL!$C$15, $D$11, 100%, $F$11)</f>
        <v>43.330300000000001</v>
      </c>
      <c r="E851" s="12">
        <f>CHOOSE( CONTROL!$C$32, 43.3195, 43.314) * CHOOSE( CONTROL!$C$15, $D$11, 100%, $F$11)</f>
        <v>43.319499999999998</v>
      </c>
      <c r="F851" s="4">
        <f>CHOOSE( CONTROL!$C$32, 44.0083, 44.0027) * CHOOSE(CONTROL!$C$15, $D$11, 100%, $F$11)</f>
        <v>44.008299999999998</v>
      </c>
      <c r="G851" s="8">
        <f>CHOOSE( CONTROL!$C$32, 42.2735, 42.2681) * CHOOSE( CONTROL!$C$15, $D$11, 100%, $F$11)</f>
        <v>42.273499999999999</v>
      </c>
      <c r="H851" s="4">
        <f>CHOOSE( CONTROL!$C$32, 43.2179, 43.2124) * CHOOSE(CONTROL!$C$15, $D$11, 100%, $F$11)</f>
        <v>43.2179</v>
      </c>
      <c r="I851" s="8">
        <f>CHOOSE( CONTROL!$C$32, 41.674, 41.6686) * CHOOSE(CONTROL!$C$15, $D$11, 100%, $F$11)</f>
        <v>41.673999999999999</v>
      </c>
      <c r="J851" s="4">
        <f>CHOOSE( CONTROL!$C$32, 41.5392, 41.5338) * CHOOSE(CONTROL!$C$15, $D$11, 100%, $F$11)</f>
        <v>41.539200000000001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1.2183999999999999</v>
      </c>
      <c r="Q851" s="9">
        <v>19.688099999999999</v>
      </c>
      <c r="R851" s="9"/>
      <c r="S851" s="11"/>
    </row>
    <row r="852" spans="1:19" ht="15.75">
      <c r="A852" s="13">
        <v>67450</v>
      </c>
      <c r="B852" s="8">
        <f>CHOOSE( CONTROL!$C$32, 39.9566, 39.951) * CHOOSE(CONTROL!$C$15, $D$11, 100%, $F$11)</f>
        <v>39.956600000000002</v>
      </c>
      <c r="C852" s="8">
        <f>CHOOSE( CONTROL!$C$32, 39.9647, 39.9591) * CHOOSE(CONTROL!$C$15, $D$11, 100%, $F$11)</f>
        <v>39.964700000000001</v>
      </c>
      <c r="D852" s="8">
        <f>CHOOSE( CONTROL!$C$32, 39.9911, 39.9855) * CHOOSE( CONTROL!$C$15, $D$11, 100%, $F$11)</f>
        <v>39.991100000000003</v>
      </c>
      <c r="E852" s="12">
        <f>CHOOSE( CONTROL!$C$32, 39.9803, 39.9747) * CHOOSE( CONTROL!$C$15, $D$11, 100%, $F$11)</f>
        <v>39.9803</v>
      </c>
      <c r="F852" s="4">
        <f>CHOOSE( CONTROL!$C$32, 40.669, 40.6634) * CHOOSE(CONTROL!$C$15, $D$11, 100%, $F$11)</f>
        <v>40.668999999999997</v>
      </c>
      <c r="G852" s="8">
        <f>CHOOSE( CONTROL!$C$32, 39.0121, 39.0066) * CHOOSE( CONTROL!$C$15, $D$11, 100%, $F$11)</f>
        <v>39.012099999999997</v>
      </c>
      <c r="H852" s="4">
        <f>CHOOSE( CONTROL!$C$32, 39.9563, 39.9509) * CHOOSE(CONTROL!$C$15, $D$11, 100%, $F$11)</f>
        <v>39.956299999999999</v>
      </c>
      <c r="I852" s="8">
        <f>CHOOSE( CONTROL!$C$32, 38.4666, 38.4612) * CHOOSE(CONTROL!$C$15, $D$11, 100%, $F$11)</f>
        <v>38.4666</v>
      </c>
      <c r="J852" s="4">
        <f>CHOOSE( CONTROL!$C$32, 38.3331, 38.3277) * CHOOSE(CONTROL!$C$15, $D$11, 100%, $F$11)</f>
        <v>38.333100000000002</v>
      </c>
      <c r="K852" s="4"/>
      <c r="L852" s="9">
        <v>30.7165</v>
      </c>
      <c r="M852" s="9">
        <v>12.063700000000001</v>
      </c>
      <c r="N852" s="9">
        <v>4.9444999999999997</v>
      </c>
      <c r="O852" s="9">
        <v>0.37409999999999999</v>
      </c>
      <c r="P852" s="9">
        <v>1.2183999999999999</v>
      </c>
      <c r="Q852" s="9">
        <v>19.688099999999999</v>
      </c>
      <c r="R852" s="9"/>
      <c r="S852" s="11"/>
    </row>
    <row r="853" spans="1:19" ht="15.75">
      <c r="A853" s="13">
        <v>67480</v>
      </c>
      <c r="B853" s="8">
        <f>CHOOSE( CONTROL!$C$32, 39.1204, 39.1148) * CHOOSE(CONTROL!$C$15, $D$11, 100%, $F$11)</f>
        <v>39.120399999999997</v>
      </c>
      <c r="C853" s="8">
        <f>CHOOSE( CONTROL!$C$32, 39.1284, 39.1229) * CHOOSE(CONTROL!$C$15, $D$11, 100%, $F$11)</f>
        <v>39.128399999999999</v>
      </c>
      <c r="D853" s="8">
        <f>CHOOSE( CONTROL!$C$32, 39.1548, 39.1492) * CHOOSE( CONTROL!$C$15, $D$11, 100%, $F$11)</f>
        <v>39.154800000000002</v>
      </c>
      <c r="E853" s="12">
        <f>CHOOSE( CONTROL!$C$32, 39.144, 39.1384) * CHOOSE( CONTROL!$C$15, $D$11, 100%, $F$11)</f>
        <v>39.143999999999998</v>
      </c>
      <c r="F853" s="4">
        <f>CHOOSE( CONTROL!$C$32, 39.8328, 39.8272) * CHOOSE(CONTROL!$C$15, $D$11, 100%, $F$11)</f>
        <v>39.832799999999999</v>
      </c>
      <c r="G853" s="8">
        <f>CHOOSE( CONTROL!$C$32, 38.1953, 38.1898) * CHOOSE( CONTROL!$C$15, $D$11, 100%, $F$11)</f>
        <v>38.195300000000003</v>
      </c>
      <c r="H853" s="4">
        <f>CHOOSE( CONTROL!$C$32, 39.1396, 39.1341) * CHOOSE(CONTROL!$C$15, $D$11, 100%, $F$11)</f>
        <v>39.139600000000002</v>
      </c>
      <c r="I853" s="8">
        <f>CHOOSE( CONTROL!$C$32, 37.6631, 37.6577) * CHOOSE(CONTROL!$C$15, $D$11, 100%, $F$11)</f>
        <v>37.6631</v>
      </c>
      <c r="J853" s="4">
        <f>CHOOSE( CONTROL!$C$32, 37.5302, 37.5249) * CHOOSE(CONTROL!$C$15, $D$11, 100%, $F$11)</f>
        <v>37.530200000000001</v>
      </c>
      <c r="K853" s="4"/>
      <c r="L853" s="9">
        <v>29.7257</v>
      </c>
      <c r="M853" s="9">
        <v>11.6745</v>
      </c>
      <c r="N853" s="9">
        <v>4.7850000000000001</v>
      </c>
      <c r="O853" s="9">
        <v>0.36199999999999999</v>
      </c>
      <c r="P853" s="9">
        <v>1.1791</v>
      </c>
      <c r="Q853" s="9">
        <v>19.053000000000001</v>
      </c>
      <c r="R853" s="9"/>
      <c r="S853" s="11"/>
    </row>
    <row r="854" spans="1:19" ht="15.75">
      <c r="A854" s="13">
        <v>67511</v>
      </c>
      <c r="B854" s="8">
        <f>40.8493 * CHOOSE(CONTROL!$C$15, $D$11, 100%, $F$11)</f>
        <v>40.849299999999999</v>
      </c>
      <c r="C854" s="8">
        <f>40.8548 * CHOOSE(CONTROL!$C$15, $D$11, 100%, $F$11)</f>
        <v>40.854799999999997</v>
      </c>
      <c r="D854" s="8">
        <f>40.886 * CHOOSE( CONTROL!$C$15, $D$11, 100%, $F$11)</f>
        <v>40.886000000000003</v>
      </c>
      <c r="E854" s="12">
        <f>40.8751 * CHOOSE( CONTROL!$C$15, $D$11, 100%, $F$11)</f>
        <v>40.875100000000003</v>
      </c>
      <c r="F854" s="4">
        <f>41.5634 * CHOOSE(CONTROL!$C$15, $D$11, 100%, $F$11)</f>
        <v>41.563400000000001</v>
      </c>
      <c r="G854" s="8">
        <f>39.8848 * CHOOSE( CONTROL!$C$15, $D$11, 100%, $F$11)</f>
        <v>39.884799999999998</v>
      </c>
      <c r="H854" s="4">
        <f>40.8299 * CHOOSE(CONTROL!$C$15, $D$11, 100%, $F$11)</f>
        <v>40.829900000000002</v>
      </c>
      <c r="I854" s="8">
        <f>39.3264 * CHOOSE(CONTROL!$C$15, $D$11, 100%, $F$11)</f>
        <v>39.3264</v>
      </c>
      <c r="J854" s="4">
        <f>39.1919 * CHOOSE(CONTROL!$C$15, $D$11, 100%, $F$11)</f>
        <v>39.191899999999997</v>
      </c>
      <c r="K854" s="4"/>
      <c r="L854" s="9">
        <v>31.095300000000002</v>
      </c>
      <c r="M854" s="9">
        <v>12.063700000000001</v>
      </c>
      <c r="N854" s="9">
        <v>4.9444999999999997</v>
      </c>
      <c r="O854" s="9">
        <v>0.37409999999999999</v>
      </c>
      <c r="P854" s="9">
        <v>1.2183999999999999</v>
      </c>
      <c r="Q854" s="9">
        <v>19.688099999999999</v>
      </c>
      <c r="R854" s="9"/>
      <c r="S854" s="11"/>
    </row>
    <row r="855" spans="1:19" ht="15.75">
      <c r="A855" s="13">
        <v>67541</v>
      </c>
      <c r="B855" s="8">
        <f>44.0537 * CHOOSE(CONTROL!$C$15, $D$11, 100%, $F$11)</f>
        <v>44.053699999999999</v>
      </c>
      <c r="C855" s="8">
        <f>44.0589 * CHOOSE(CONTROL!$C$15, $D$11, 100%, $F$11)</f>
        <v>44.058900000000001</v>
      </c>
      <c r="D855" s="8">
        <f>44.0451 * CHOOSE( CONTROL!$C$15, $D$11, 100%, $F$11)</f>
        <v>44.045099999999998</v>
      </c>
      <c r="E855" s="12">
        <f>44.0496 * CHOOSE( CONTROL!$C$15, $D$11, 100%, $F$11)</f>
        <v>44.049599999999998</v>
      </c>
      <c r="F855" s="4">
        <f>44.7042 * CHOOSE(CONTROL!$C$15, $D$11, 100%, $F$11)</f>
        <v>44.7042</v>
      </c>
      <c r="G855" s="8">
        <f>43.0225 * CHOOSE( CONTROL!$C$15, $D$11, 100%, $F$11)</f>
        <v>43.022500000000001</v>
      </c>
      <c r="H855" s="4">
        <f>43.8975 * CHOOSE(CONTROL!$C$15, $D$11, 100%, $F$11)</f>
        <v>43.897500000000001</v>
      </c>
      <c r="I855" s="8">
        <f>42.4485 * CHOOSE(CONTROL!$C$15, $D$11, 100%, $F$11)</f>
        <v>42.448500000000003</v>
      </c>
      <c r="J855" s="4">
        <f>42.2688 * CHOOSE(CONTROL!$C$15, $D$11, 100%, $F$11)</f>
        <v>42.268799999999999</v>
      </c>
      <c r="K855" s="4"/>
      <c r="L855" s="9">
        <v>28.360600000000002</v>
      </c>
      <c r="M855" s="9">
        <v>11.6745</v>
      </c>
      <c r="N855" s="9">
        <v>4.7850000000000001</v>
      </c>
      <c r="O855" s="9">
        <v>0.36199999999999999</v>
      </c>
      <c r="P855" s="9">
        <v>1.2509999999999999</v>
      </c>
      <c r="Q855" s="9">
        <v>19.053000000000001</v>
      </c>
      <c r="R855" s="9"/>
      <c r="S855" s="11"/>
    </row>
    <row r="856" spans="1:19" ht="15.75">
      <c r="A856" s="13">
        <v>67572</v>
      </c>
      <c r="B856" s="8">
        <f>43.9736 * CHOOSE(CONTROL!$C$15, $D$11, 100%, $F$11)</f>
        <v>43.973599999999998</v>
      </c>
      <c r="C856" s="8">
        <f>43.9788 * CHOOSE(CONTROL!$C$15, $D$11, 100%, $F$11)</f>
        <v>43.9788</v>
      </c>
      <c r="D856" s="8">
        <f>43.9666 * CHOOSE( CONTROL!$C$15, $D$11, 100%, $F$11)</f>
        <v>43.9666</v>
      </c>
      <c r="E856" s="12">
        <f>43.9705 * CHOOSE( CONTROL!$C$15, $D$11, 100%, $F$11)</f>
        <v>43.970500000000001</v>
      </c>
      <c r="F856" s="4">
        <f>44.6241 * CHOOSE(CONTROL!$C$15, $D$11, 100%, $F$11)</f>
        <v>44.624099999999999</v>
      </c>
      <c r="G856" s="8">
        <f>42.9454 * CHOOSE( CONTROL!$C$15, $D$11, 100%, $F$11)</f>
        <v>42.945399999999999</v>
      </c>
      <c r="H856" s="4">
        <f>43.8193 * CHOOSE(CONTROL!$C$15, $D$11, 100%, $F$11)</f>
        <v>43.819299999999998</v>
      </c>
      <c r="I856" s="8">
        <f>42.3764 * CHOOSE(CONTROL!$C$15, $D$11, 100%, $F$11)</f>
        <v>42.376399999999997</v>
      </c>
      <c r="J856" s="4">
        <f>42.1919 * CHOOSE(CONTROL!$C$15, $D$11, 100%, $F$11)</f>
        <v>42.191899999999997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67603</v>
      </c>
      <c r="B857" s="8">
        <f>45.6532 * CHOOSE(CONTROL!$C$15, $D$11, 100%, $F$11)</f>
        <v>45.653199999999998</v>
      </c>
      <c r="C857" s="8">
        <f>45.6584 * CHOOSE(CONTROL!$C$15, $D$11, 100%, $F$11)</f>
        <v>45.6584</v>
      </c>
      <c r="D857" s="8">
        <f>45.6408 * CHOOSE( CONTROL!$C$15, $D$11, 100%, $F$11)</f>
        <v>45.640799999999999</v>
      </c>
      <c r="E857" s="12">
        <f>45.6467 * CHOOSE( CONTROL!$C$15, $D$11, 100%, $F$11)</f>
        <v>45.646700000000003</v>
      </c>
      <c r="F857" s="4">
        <f>46.3037 * CHOOSE(CONTROL!$C$15, $D$11, 100%, $F$11)</f>
        <v>46.303699999999999</v>
      </c>
      <c r="G857" s="8">
        <f>44.5758 * CHOOSE( CONTROL!$C$15, $D$11, 100%, $F$11)</f>
        <v>44.575800000000001</v>
      </c>
      <c r="H857" s="4">
        <f>45.4597 * CHOOSE(CONTROL!$C$15, $D$11, 100%, $F$11)</f>
        <v>45.459699999999998</v>
      </c>
      <c r="I857" s="8">
        <f>43.9496 * CHOOSE(CONTROL!$C$15, $D$11, 100%, $F$11)</f>
        <v>43.949599999999997</v>
      </c>
      <c r="J857" s="4">
        <f>43.8045 * CHOOSE(CONTROL!$C$15, $D$11, 100%, $F$11)</f>
        <v>43.804499999999997</v>
      </c>
      <c r="K857" s="4"/>
      <c r="L857" s="9">
        <v>29.306000000000001</v>
      </c>
      <c r="M857" s="9">
        <v>12.063700000000001</v>
      </c>
      <c r="N857" s="9">
        <v>4.9444999999999997</v>
      </c>
      <c r="O857" s="9">
        <v>0.37409999999999999</v>
      </c>
      <c r="P857" s="9">
        <v>1.2927</v>
      </c>
      <c r="Q857" s="9">
        <v>19.688099999999999</v>
      </c>
      <c r="R857" s="9"/>
      <c r="S857" s="11"/>
    </row>
    <row r="858" spans="1:19" ht="15.75">
      <c r="A858" s="13">
        <v>67631</v>
      </c>
      <c r="B858" s="8">
        <f>42.7036 * CHOOSE(CONTROL!$C$15, $D$11, 100%, $F$11)</f>
        <v>42.703600000000002</v>
      </c>
      <c r="C858" s="8">
        <f>42.7088 * CHOOSE(CONTROL!$C$15, $D$11, 100%, $F$11)</f>
        <v>42.708799999999997</v>
      </c>
      <c r="D858" s="8">
        <f>42.6912 * CHOOSE( CONTROL!$C$15, $D$11, 100%, $F$11)</f>
        <v>42.691200000000002</v>
      </c>
      <c r="E858" s="12">
        <f>42.6971 * CHOOSE( CONTROL!$C$15, $D$11, 100%, $F$11)</f>
        <v>42.697099999999999</v>
      </c>
      <c r="F858" s="4">
        <f>43.3541 * CHOOSE(CONTROL!$C$15, $D$11, 100%, $F$11)</f>
        <v>43.354100000000003</v>
      </c>
      <c r="G858" s="8">
        <f>41.6949 * CHOOSE( CONTROL!$C$15, $D$11, 100%, $F$11)</f>
        <v>41.694899999999997</v>
      </c>
      <c r="H858" s="4">
        <f>42.5789 * CHOOSE(CONTROL!$C$15, $D$11, 100%, $F$11)</f>
        <v>42.578899999999997</v>
      </c>
      <c r="I858" s="8">
        <f>41.1161 * CHOOSE(CONTROL!$C$15, $D$11, 100%, $F$11)</f>
        <v>41.116100000000003</v>
      </c>
      <c r="J858" s="4">
        <f>40.9726 * CHOOSE(CONTROL!$C$15, $D$11, 100%, $F$11)</f>
        <v>40.9726</v>
      </c>
      <c r="K858" s="4"/>
      <c r="L858" s="9">
        <v>26.469899999999999</v>
      </c>
      <c r="M858" s="9">
        <v>10.8962</v>
      </c>
      <c r="N858" s="9">
        <v>4.4660000000000002</v>
      </c>
      <c r="O858" s="9">
        <v>0.33789999999999998</v>
      </c>
      <c r="P858" s="9">
        <v>1.1676</v>
      </c>
      <c r="Q858" s="9">
        <v>17.782800000000002</v>
      </c>
      <c r="R858" s="9"/>
      <c r="S858" s="11"/>
    </row>
    <row r="859" spans="1:19" ht="15.75">
      <c r="A859" s="13">
        <v>67662</v>
      </c>
      <c r="B859" s="8">
        <f>41.7952 * CHOOSE(CONTROL!$C$15, $D$11, 100%, $F$11)</f>
        <v>41.795200000000001</v>
      </c>
      <c r="C859" s="8">
        <f>41.8004 * CHOOSE(CONTROL!$C$15, $D$11, 100%, $F$11)</f>
        <v>41.800400000000003</v>
      </c>
      <c r="D859" s="8">
        <f>41.7824 * CHOOSE( CONTROL!$C$15, $D$11, 100%, $F$11)</f>
        <v>41.782400000000003</v>
      </c>
      <c r="E859" s="12">
        <f>41.7884 * CHOOSE( CONTROL!$C$15, $D$11, 100%, $F$11)</f>
        <v>41.788400000000003</v>
      </c>
      <c r="F859" s="4">
        <f>42.4456 * CHOOSE(CONTROL!$C$15, $D$11, 100%, $F$11)</f>
        <v>42.445599999999999</v>
      </c>
      <c r="G859" s="8">
        <f>40.8073 * CHOOSE( CONTROL!$C$15, $D$11, 100%, $F$11)</f>
        <v>40.807299999999998</v>
      </c>
      <c r="H859" s="4">
        <f>41.6916 * CHOOSE(CONTROL!$C$15, $D$11, 100%, $F$11)</f>
        <v>41.691600000000001</v>
      </c>
      <c r="I859" s="8">
        <f>40.2423 * CHOOSE(CONTROL!$C$15, $D$11, 100%, $F$11)</f>
        <v>40.2423</v>
      </c>
      <c r="J859" s="4">
        <f>40.1004 * CHOOSE(CONTROL!$C$15, $D$11, 100%, $F$11)</f>
        <v>40.1004</v>
      </c>
      <c r="K859" s="4"/>
      <c r="L859" s="9">
        <v>29.306000000000001</v>
      </c>
      <c r="M859" s="9">
        <v>12.063700000000001</v>
      </c>
      <c r="N859" s="9">
        <v>4.9444999999999997</v>
      </c>
      <c r="O859" s="9">
        <v>0.37409999999999999</v>
      </c>
      <c r="P859" s="9">
        <v>1.2927</v>
      </c>
      <c r="Q859" s="9">
        <v>19.688099999999999</v>
      </c>
      <c r="R859" s="9"/>
      <c r="S859" s="11"/>
    </row>
    <row r="860" spans="1:19" ht="15.75">
      <c r="A860" s="13">
        <v>67692</v>
      </c>
      <c r="B860" s="8">
        <f>42.4308 * CHOOSE(CONTROL!$C$15, $D$11, 100%, $F$11)</f>
        <v>42.430799999999998</v>
      </c>
      <c r="C860" s="8">
        <f>42.4354 * CHOOSE(CONTROL!$C$15, $D$11, 100%, $F$11)</f>
        <v>42.435400000000001</v>
      </c>
      <c r="D860" s="8">
        <f>42.4665 * CHOOSE( CONTROL!$C$15, $D$11, 100%, $F$11)</f>
        <v>42.466500000000003</v>
      </c>
      <c r="E860" s="12">
        <f>42.4557 * CHOOSE( CONTROL!$C$15, $D$11, 100%, $F$11)</f>
        <v>42.4557</v>
      </c>
      <c r="F860" s="4">
        <f>43.1445 * CHOOSE(CONTROL!$C$15, $D$11, 100%, $F$11)</f>
        <v>43.144500000000001</v>
      </c>
      <c r="G860" s="8">
        <f>41.4282 * CHOOSE( CONTROL!$C$15, $D$11, 100%, $F$11)</f>
        <v>41.428199999999997</v>
      </c>
      <c r="H860" s="4">
        <f>42.3742 * CHOOSE(CONTROL!$C$15, $D$11, 100%, $F$11)</f>
        <v>42.374200000000002</v>
      </c>
      <c r="I860" s="8">
        <f>40.8425 * CHOOSE(CONTROL!$C$15, $D$11, 100%, $F$11)</f>
        <v>40.842500000000001</v>
      </c>
      <c r="J860" s="4">
        <f>40.7099 * CHOOSE(CONTROL!$C$15, $D$11, 100%, $F$11)</f>
        <v>40.709899999999998</v>
      </c>
      <c r="K860" s="4"/>
      <c r="L860" s="9">
        <v>30.092199999999998</v>
      </c>
      <c r="M860" s="9">
        <v>11.6745</v>
      </c>
      <c r="N860" s="9">
        <v>4.7850000000000001</v>
      </c>
      <c r="O860" s="9">
        <v>0.36199999999999999</v>
      </c>
      <c r="P860" s="9">
        <v>1.1791</v>
      </c>
      <c r="Q860" s="9">
        <v>19.053000000000001</v>
      </c>
      <c r="R860" s="9"/>
      <c r="S860" s="11"/>
    </row>
    <row r="861" spans="1:19" ht="15.75">
      <c r="A861" s="13">
        <v>67723</v>
      </c>
      <c r="B861" s="8">
        <f>CHOOSE( CONTROL!$C$32, 43.5675, 43.5619) * CHOOSE(CONTROL!$C$15, $D$11, 100%, $F$11)</f>
        <v>43.567500000000003</v>
      </c>
      <c r="C861" s="8">
        <f>CHOOSE( CONTROL!$C$32, 43.5756, 43.57) * CHOOSE(CONTROL!$C$15, $D$11, 100%, $F$11)</f>
        <v>43.575600000000001</v>
      </c>
      <c r="D861" s="8">
        <f>CHOOSE( CONTROL!$C$32, 43.6016, 43.596) * CHOOSE( CONTROL!$C$15, $D$11, 100%, $F$11)</f>
        <v>43.601599999999998</v>
      </c>
      <c r="E861" s="12">
        <f>CHOOSE( CONTROL!$C$32, 43.5909, 43.5853) * CHOOSE( CONTROL!$C$15, $D$11, 100%, $F$11)</f>
        <v>43.590899999999998</v>
      </c>
      <c r="F861" s="4">
        <f>CHOOSE( CONTROL!$C$32, 44.2799, 44.2743) * CHOOSE(CONTROL!$C$15, $D$11, 100%, $F$11)</f>
        <v>44.279899999999998</v>
      </c>
      <c r="G861" s="8">
        <f>CHOOSE( CONTROL!$C$32, 42.5383, 42.5328) * CHOOSE( CONTROL!$C$15, $D$11, 100%, $F$11)</f>
        <v>42.5383</v>
      </c>
      <c r="H861" s="4">
        <f>CHOOSE( CONTROL!$C$32, 43.4831, 43.4777) * CHOOSE(CONTROL!$C$15, $D$11, 100%, $F$11)</f>
        <v>43.4831</v>
      </c>
      <c r="I861" s="8">
        <f>CHOOSE( CONTROL!$C$32, 41.9331, 41.9278) * CHOOSE(CONTROL!$C$15, $D$11, 100%, $F$11)</f>
        <v>41.933100000000003</v>
      </c>
      <c r="J861" s="4">
        <f>CHOOSE( CONTROL!$C$32, 41.7999, 41.7946) * CHOOSE(CONTROL!$C$15, $D$11, 100%, $F$11)</f>
        <v>41.799900000000001</v>
      </c>
      <c r="K861" s="4"/>
      <c r="L861" s="9">
        <v>30.7165</v>
      </c>
      <c r="M861" s="9">
        <v>12.063700000000001</v>
      </c>
      <c r="N861" s="9">
        <v>4.9444999999999997</v>
      </c>
      <c r="O861" s="9">
        <v>0.37409999999999999</v>
      </c>
      <c r="P861" s="9">
        <v>1.2183999999999999</v>
      </c>
      <c r="Q861" s="9">
        <v>19.688099999999999</v>
      </c>
      <c r="R861" s="9"/>
      <c r="S861" s="11"/>
    </row>
    <row r="862" spans="1:19" ht="15.75">
      <c r="A862" s="13">
        <v>67753</v>
      </c>
      <c r="B862" s="8">
        <f>CHOOSE( CONTROL!$C$32, 42.8676, 42.8621) * CHOOSE(CONTROL!$C$15, $D$11, 100%, $F$11)</f>
        <v>42.867600000000003</v>
      </c>
      <c r="C862" s="8">
        <f>CHOOSE( CONTROL!$C$32, 42.8757, 42.8701) * CHOOSE(CONTROL!$C$15, $D$11, 100%, $F$11)</f>
        <v>42.875700000000002</v>
      </c>
      <c r="D862" s="8">
        <f>CHOOSE( CONTROL!$C$32, 42.9019, 42.8963) * CHOOSE( CONTROL!$C$15, $D$11, 100%, $F$11)</f>
        <v>42.901899999999998</v>
      </c>
      <c r="E862" s="12">
        <f>CHOOSE( CONTROL!$C$32, 42.8912, 42.8856) * CHOOSE( CONTROL!$C$15, $D$11, 100%, $F$11)</f>
        <v>42.891199999999998</v>
      </c>
      <c r="F862" s="4">
        <f>CHOOSE( CONTROL!$C$32, 43.58, 43.5744) * CHOOSE(CONTROL!$C$15, $D$11, 100%, $F$11)</f>
        <v>43.58</v>
      </c>
      <c r="G862" s="8">
        <f>CHOOSE( CONTROL!$C$32, 41.8549, 41.8495) * CHOOSE( CONTROL!$C$15, $D$11, 100%, $F$11)</f>
        <v>41.854900000000001</v>
      </c>
      <c r="H862" s="4">
        <f>CHOOSE( CONTROL!$C$32, 42.7995, 42.7941) * CHOOSE(CONTROL!$C$15, $D$11, 100%, $F$11)</f>
        <v>42.799500000000002</v>
      </c>
      <c r="I862" s="8">
        <f>CHOOSE( CONTROL!$C$32, 41.2616, 41.2563) * CHOOSE(CONTROL!$C$15, $D$11, 100%, $F$11)</f>
        <v>41.261600000000001</v>
      </c>
      <c r="J862" s="4">
        <f>CHOOSE( CONTROL!$C$32, 41.128, 41.1226) * CHOOSE(CONTROL!$C$15, $D$11, 100%, $F$11)</f>
        <v>41.128</v>
      </c>
      <c r="K862" s="4"/>
      <c r="L862" s="9">
        <v>29.7257</v>
      </c>
      <c r="M862" s="9">
        <v>11.6745</v>
      </c>
      <c r="N862" s="9">
        <v>4.7850000000000001</v>
      </c>
      <c r="O862" s="9">
        <v>0.36199999999999999</v>
      </c>
      <c r="P862" s="9">
        <v>1.1791</v>
      </c>
      <c r="Q862" s="9">
        <v>19.053000000000001</v>
      </c>
      <c r="R862" s="9"/>
      <c r="S862" s="11"/>
    </row>
    <row r="863" spans="1:19" ht="15.75">
      <c r="A863" s="13">
        <v>67784</v>
      </c>
      <c r="B863" s="8">
        <f>CHOOSE( CONTROL!$C$32, 44.7107, 44.7051) * CHOOSE(CONTROL!$C$15, $D$11, 100%, $F$11)</f>
        <v>44.710700000000003</v>
      </c>
      <c r="C863" s="8">
        <f>CHOOSE( CONTROL!$C$32, 44.7188, 44.7132) * CHOOSE(CONTROL!$C$15, $D$11, 100%, $F$11)</f>
        <v>44.718800000000002</v>
      </c>
      <c r="D863" s="8">
        <f>CHOOSE( CONTROL!$C$32, 44.7451, 44.7395) * CHOOSE( CONTROL!$C$15, $D$11, 100%, $F$11)</f>
        <v>44.745100000000001</v>
      </c>
      <c r="E863" s="12">
        <f>CHOOSE( CONTROL!$C$32, 44.7343, 44.7287) * CHOOSE( CONTROL!$C$15, $D$11, 100%, $F$11)</f>
        <v>44.734299999999998</v>
      </c>
      <c r="F863" s="4">
        <f>CHOOSE( CONTROL!$C$32, 45.4231, 45.4175) * CHOOSE(CONTROL!$C$15, $D$11, 100%, $F$11)</f>
        <v>45.423099999999998</v>
      </c>
      <c r="G863" s="8">
        <f>CHOOSE( CONTROL!$C$32, 43.6553, 43.6499) * CHOOSE( CONTROL!$C$15, $D$11, 100%, $F$11)</f>
        <v>43.655299999999997</v>
      </c>
      <c r="H863" s="4">
        <f>CHOOSE( CONTROL!$C$32, 44.5997, 44.5942) * CHOOSE(CONTROL!$C$15, $D$11, 100%, $F$11)</f>
        <v>44.599699999999999</v>
      </c>
      <c r="I863" s="8">
        <f>CHOOSE( CONTROL!$C$32, 43.033, 43.0276) * CHOOSE(CONTROL!$C$15, $D$11, 100%, $F$11)</f>
        <v>43.033000000000001</v>
      </c>
      <c r="J863" s="4">
        <f>CHOOSE( CONTROL!$C$32, 42.8975, 42.8922) * CHOOSE(CONTROL!$C$15, $D$11, 100%, $F$11)</f>
        <v>42.897500000000001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1.2183999999999999</v>
      </c>
      <c r="Q863" s="9">
        <v>19.688099999999999</v>
      </c>
      <c r="R863" s="9"/>
      <c r="S863" s="11"/>
    </row>
    <row r="864" spans="1:19" ht="15.75">
      <c r="A864" s="13">
        <v>67815</v>
      </c>
      <c r="B864" s="8">
        <f>CHOOSE( CONTROL!$C$32, 41.2621, 41.2566) * CHOOSE(CONTROL!$C$15, $D$11, 100%, $F$11)</f>
        <v>41.262099999999997</v>
      </c>
      <c r="C864" s="8">
        <f>CHOOSE( CONTROL!$C$32, 41.2702, 41.2646) * CHOOSE(CONTROL!$C$15, $D$11, 100%, $F$11)</f>
        <v>41.270200000000003</v>
      </c>
      <c r="D864" s="8">
        <f>CHOOSE( CONTROL!$C$32, 41.2966, 41.291) * CHOOSE( CONTROL!$C$15, $D$11, 100%, $F$11)</f>
        <v>41.296599999999998</v>
      </c>
      <c r="E864" s="12">
        <f>CHOOSE( CONTROL!$C$32, 41.2858, 41.2802) * CHOOSE( CONTROL!$C$15, $D$11, 100%, $F$11)</f>
        <v>41.285800000000002</v>
      </c>
      <c r="F864" s="4">
        <f>CHOOSE( CONTROL!$C$32, 41.9745, 41.9689) * CHOOSE(CONTROL!$C$15, $D$11, 100%, $F$11)</f>
        <v>41.974499999999999</v>
      </c>
      <c r="G864" s="8">
        <f>CHOOSE( CONTROL!$C$32, 40.2872, 40.2818) * CHOOSE( CONTROL!$C$15, $D$11, 100%, $F$11)</f>
        <v>40.287199999999999</v>
      </c>
      <c r="H864" s="4">
        <f>CHOOSE( CONTROL!$C$32, 41.2314, 41.226) * CHOOSE(CONTROL!$C$15, $D$11, 100%, $F$11)</f>
        <v>41.231400000000001</v>
      </c>
      <c r="I864" s="8">
        <f>CHOOSE( CONTROL!$C$32, 39.7207, 39.7153) * CHOOSE(CONTROL!$C$15, $D$11, 100%, $F$11)</f>
        <v>39.720700000000001</v>
      </c>
      <c r="J864" s="4">
        <f>CHOOSE( CONTROL!$C$32, 39.5865, 39.5812) * CHOOSE(CONTROL!$C$15, $D$11, 100%, $F$11)</f>
        <v>39.586500000000001</v>
      </c>
      <c r="K864" s="4"/>
      <c r="L864" s="9">
        <v>30.7165</v>
      </c>
      <c r="M864" s="9">
        <v>12.063700000000001</v>
      </c>
      <c r="N864" s="9">
        <v>4.9444999999999997</v>
      </c>
      <c r="O864" s="9">
        <v>0.37409999999999999</v>
      </c>
      <c r="P864" s="9">
        <v>1.2183999999999999</v>
      </c>
      <c r="Q864" s="9">
        <v>19.688099999999999</v>
      </c>
      <c r="R864" s="9"/>
      <c r="S864" s="11"/>
    </row>
    <row r="865" spans="1:19" ht="15.75">
      <c r="A865" s="13">
        <v>67845</v>
      </c>
      <c r="B865" s="8">
        <f>CHOOSE( CONTROL!$C$32, 40.3986, 40.393) * CHOOSE(CONTROL!$C$15, $D$11, 100%, $F$11)</f>
        <v>40.398600000000002</v>
      </c>
      <c r="C865" s="8">
        <f>CHOOSE( CONTROL!$C$32, 40.4067, 40.4011) * CHOOSE(CONTROL!$C$15, $D$11, 100%, $F$11)</f>
        <v>40.406700000000001</v>
      </c>
      <c r="D865" s="8">
        <f>CHOOSE( CONTROL!$C$32, 40.433, 40.4274) * CHOOSE( CONTROL!$C$15, $D$11, 100%, $F$11)</f>
        <v>40.433</v>
      </c>
      <c r="E865" s="12">
        <f>CHOOSE( CONTROL!$C$32, 40.4222, 40.4166) * CHOOSE( CONTROL!$C$15, $D$11, 100%, $F$11)</f>
        <v>40.422199999999997</v>
      </c>
      <c r="F865" s="4">
        <f>CHOOSE( CONTROL!$C$32, 41.111, 41.1054) * CHOOSE(CONTROL!$C$15, $D$11, 100%, $F$11)</f>
        <v>41.110999999999997</v>
      </c>
      <c r="G865" s="8">
        <f>CHOOSE( CONTROL!$C$32, 39.4437, 39.4383) * CHOOSE( CONTROL!$C$15, $D$11, 100%, $F$11)</f>
        <v>39.4437</v>
      </c>
      <c r="H865" s="4">
        <f>CHOOSE( CONTROL!$C$32, 40.388, 40.3826) * CHOOSE(CONTROL!$C$15, $D$11, 100%, $F$11)</f>
        <v>40.387999999999998</v>
      </c>
      <c r="I865" s="8">
        <f>CHOOSE( CONTROL!$C$32, 38.8909, 38.8856) * CHOOSE(CONTROL!$C$15, $D$11, 100%, $F$11)</f>
        <v>38.890900000000002</v>
      </c>
      <c r="J865" s="4">
        <f>CHOOSE( CONTROL!$C$32, 38.7574, 38.7521) * CHOOSE(CONTROL!$C$15, $D$11, 100%, $F$11)</f>
        <v>38.757399999999997</v>
      </c>
      <c r="K865" s="4"/>
      <c r="L865" s="9">
        <v>29.7257</v>
      </c>
      <c r="M865" s="9">
        <v>11.6745</v>
      </c>
      <c r="N865" s="9">
        <v>4.7850000000000001</v>
      </c>
      <c r="O865" s="9">
        <v>0.36199999999999999</v>
      </c>
      <c r="P865" s="9">
        <v>1.1791</v>
      </c>
      <c r="Q865" s="9">
        <v>19.053000000000001</v>
      </c>
      <c r="R865" s="9"/>
      <c r="S865" s="11"/>
    </row>
    <row r="866" spans="1:19" ht="15.75">
      <c r="A866" s="13">
        <v>67876</v>
      </c>
      <c r="B866" s="8">
        <f>42.1843 * CHOOSE(CONTROL!$C$15, $D$11, 100%, $F$11)</f>
        <v>42.1843</v>
      </c>
      <c r="C866" s="8">
        <f>42.1898 * CHOOSE(CONTROL!$C$15, $D$11, 100%, $F$11)</f>
        <v>42.189799999999998</v>
      </c>
      <c r="D866" s="8">
        <f>42.2209 * CHOOSE( CONTROL!$C$15, $D$11, 100%, $F$11)</f>
        <v>42.2209</v>
      </c>
      <c r="E866" s="12">
        <f>42.21 * CHOOSE( CONTROL!$C$15, $D$11, 100%, $F$11)</f>
        <v>42.21</v>
      </c>
      <c r="F866" s="4">
        <f>42.8984 * CHOOSE(CONTROL!$C$15, $D$11, 100%, $F$11)</f>
        <v>42.898400000000002</v>
      </c>
      <c r="G866" s="8">
        <f>41.1887 * CHOOSE( CONTROL!$C$15, $D$11, 100%, $F$11)</f>
        <v>41.188699999999997</v>
      </c>
      <c r="H866" s="4">
        <f>42.1338 * CHOOSE(CONTROL!$C$15, $D$11, 100%, $F$11)</f>
        <v>42.133800000000001</v>
      </c>
      <c r="I866" s="8">
        <f>40.6088 * CHOOSE(CONTROL!$C$15, $D$11, 100%, $F$11)</f>
        <v>40.608800000000002</v>
      </c>
      <c r="J866" s="4">
        <f>40.4736 * CHOOSE(CONTROL!$C$15, $D$11, 100%, $F$11)</f>
        <v>40.473599999999998</v>
      </c>
      <c r="K866" s="4"/>
      <c r="L866" s="9">
        <v>31.095300000000002</v>
      </c>
      <c r="M866" s="9">
        <v>12.063700000000001</v>
      </c>
      <c r="N866" s="9">
        <v>4.9444999999999997</v>
      </c>
      <c r="O866" s="9">
        <v>0.37409999999999999</v>
      </c>
      <c r="P866" s="9">
        <v>1.2183999999999999</v>
      </c>
      <c r="Q866" s="9">
        <v>19.688099999999999</v>
      </c>
      <c r="R866" s="9"/>
      <c r="S866" s="11"/>
    </row>
    <row r="867" spans="1:19" ht="15.75">
      <c r="A867" s="13">
        <v>67906</v>
      </c>
      <c r="B867" s="8">
        <f>45.4935 * CHOOSE(CONTROL!$C$15, $D$11, 100%, $F$11)</f>
        <v>45.493499999999997</v>
      </c>
      <c r="C867" s="8">
        <f>45.4987 * CHOOSE(CONTROL!$C$15, $D$11, 100%, $F$11)</f>
        <v>45.498699999999999</v>
      </c>
      <c r="D867" s="8">
        <f>45.4849 * CHOOSE( CONTROL!$C$15, $D$11, 100%, $F$11)</f>
        <v>45.484900000000003</v>
      </c>
      <c r="E867" s="12">
        <f>45.4894 * CHOOSE( CONTROL!$C$15, $D$11, 100%, $F$11)</f>
        <v>45.489400000000003</v>
      </c>
      <c r="F867" s="4">
        <f>46.144 * CHOOSE(CONTROL!$C$15, $D$11, 100%, $F$11)</f>
        <v>46.143999999999998</v>
      </c>
      <c r="G867" s="8">
        <f>44.4288 * CHOOSE( CONTROL!$C$15, $D$11, 100%, $F$11)</f>
        <v>44.428800000000003</v>
      </c>
      <c r="H867" s="4">
        <f>45.3038 * CHOOSE(CONTROL!$C$15, $D$11, 100%, $F$11)</f>
        <v>45.303800000000003</v>
      </c>
      <c r="I867" s="8">
        <f>43.8316 * CHOOSE(CONTROL!$C$15, $D$11, 100%, $F$11)</f>
        <v>43.831600000000002</v>
      </c>
      <c r="J867" s="4">
        <f>43.6511 * CHOOSE(CONTROL!$C$15, $D$11, 100%, $F$11)</f>
        <v>43.6511</v>
      </c>
      <c r="K867" s="4"/>
      <c r="L867" s="9">
        <v>28.360600000000002</v>
      </c>
      <c r="M867" s="9">
        <v>11.6745</v>
      </c>
      <c r="N867" s="9">
        <v>4.7850000000000001</v>
      </c>
      <c r="O867" s="9">
        <v>0.36199999999999999</v>
      </c>
      <c r="P867" s="9">
        <v>1.2509999999999999</v>
      </c>
      <c r="Q867" s="9">
        <v>19.053000000000001</v>
      </c>
      <c r="R867" s="9"/>
      <c r="S867" s="11"/>
    </row>
    <row r="868" spans="1:19" ht="15.75">
      <c r="A868" s="13">
        <v>67937</v>
      </c>
      <c r="B868" s="8">
        <f>45.4108 * CHOOSE(CONTROL!$C$15, $D$11, 100%, $F$11)</f>
        <v>45.410800000000002</v>
      </c>
      <c r="C868" s="8">
        <f>45.416 * CHOOSE(CONTROL!$C$15, $D$11, 100%, $F$11)</f>
        <v>45.415999999999997</v>
      </c>
      <c r="D868" s="8">
        <f>45.4037 * CHOOSE( CONTROL!$C$15, $D$11, 100%, $F$11)</f>
        <v>45.403700000000001</v>
      </c>
      <c r="E868" s="12">
        <f>45.4076 * CHOOSE( CONTROL!$C$15, $D$11, 100%, $F$11)</f>
        <v>45.407600000000002</v>
      </c>
      <c r="F868" s="4">
        <f>46.0613 * CHOOSE(CONTROL!$C$15, $D$11, 100%, $F$11)</f>
        <v>46.061300000000003</v>
      </c>
      <c r="G868" s="8">
        <f>44.3491 * CHOOSE( CONTROL!$C$15, $D$11, 100%, $F$11)</f>
        <v>44.3491</v>
      </c>
      <c r="H868" s="4">
        <f>45.223 * CHOOSE(CONTROL!$C$15, $D$11, 100%, $F$11)</f>
        <v>45.222999999999999</v>
      </c>
      <c r="I868" s="8">
        <f>43.7569 * CHOOSE(CONTROL!$C$15, $D$11, 100%, $F$11)</f>
        <v>43.756900000000002</v>
      </c>
      <c r="J868" s="4">
        <f>43.5718 * CHOOSE(CONTROL!$C$15, $D$11, 100%, $F$11)</f>
        <v>43.571800000000003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67968</v>
      </c>
      <c r="B869" s="8">
        <f>47.1453 * CHOOSE(CONTROL!$C$15, $D$11, 100%, $F$11)</f>
        <v>47.145299999999999</v>
      </c>
      <c r="C869" s="8">
        <f>47.1505 * CHOOSE(CONTROL!$C$15, $D$11, 100%, $F$11)</f>
        <v>47.150500000000001</v>
      </c>
      <c r="D869" s="8">
        <f>47.1329 * CHOOSE( CONTROL!$C$15, $D$11, 100%, $F$11)</f>
        <v>47.132899999999999</v>
      </c>
      <c r="E869" s="12">
        <f>47.1388 * CHOOSE( CONTROL!$C$15, $D$11, 100%, $F$11)</f>
        <v>47.138800000000003</v>
      </c>
      <c r="F869" s="4">
        <f>47.7958 * CHOOSE(CONTROL!$C$15, $D$11, 100%, $F$11)</f>
        <v>47.7958</v>
      </c>
      <c r="G869" s="8">
        <f>46.0331 * CHOOSE( CONTROL!$C$15, $D$11, 100%, $F$11)</f>
        <v>46.033099999999997</v>
      </c>
      <c r="H869" s="4">
        <f>46.9171 * CHOOSE(CONTROL!$C$15, $D$11, 100%, $F$11)</f>
        <v>46.917099999999998</v>
      </c>
      <c r="I869" s="8">
        <f>45.3828 * CHOOSE(CONTROL!$C$15, $D$11, 100%, $F$11)</f>
        <v>45.382800000000003</v>
      </c>
      <c r="J869" s="4">
        <f>45.237 * CHOOSE(CONTROL!$C$15, $D$11, 100%, $F$11)</f>
        <v>45.237000000000002</v>
      </c>
      <c r="K869" s="4"/>
      <c r="L869" s="9">
        <v>29.306000000000001</v>
      </c>
      <c r="M869" s="9">
        <v>12.063700000000001</v>
      </c>
      <c r="N869" s="9">
        <v>4.9444999999999997</v>
      </c>
      <c r="O869" s="9">
        <v>0.37409999999999999</v>
      </c>
      <c r="P869" s="9">
        <v>1.2927</v>
      </c>
      <c r="Q869" s="9">
        <v>19.688099999999999</v>
      </c>
      <c r="R869" s="9"/>
      <c r="S869" s="11"/>
    </row>
    <row r="870" spans="1:19" ht="15.75">
      <c r="A870" s="13">
        <v>67996</v>
      </c>
      <c r="B870" s="8">
        <f>44.0993 * CHOOSE(CONTROL!$C$15, $D$11, 100%, $F$11)</f>
        <v>44.099299999999999</v>
      </c>
      <c r="C870" s="8">
        <f>44.1045 * CHOOSE(CONTROL!$C$15, $D$11, 100%, $F$11)</f>
        <v>44.104500000000002</v>
      </c>
      <c r="D870" s="8">
        <f>44.0868 * CHOOSE( CONTROL!$C$15, $D$11, 100%, $F$11)</f>
        <v>44.086799999999997</v>
      </c>
      <c r="E870" s="12">
        <f>44.0927 * CHOOSE( CONTROL!$C$15, $D$11, 100%, $F$11)</f>
        <v>44.092700000000001</v>
      </c>
      <c r="F870" s="4">
        <f>44.7497 * CHOOSE(CONTROL!$C$15, $D$11, 100%, $F$11)</f>
        <v>44.749699999999997</v>
      </c>
      <c r="G870" s="8">
        <f>43.058 * CHOOSE( CONTROL!$C$15, $D$11, 100%, $F$11)</f>
        <v>43.058</v>
      </c>
      <c r="H870" s="4">
        <f>43.942 * CHOOSE(CONTROL!$C$15, $D$11, 100%, $F$11)</f>
        <v>43.942</v>
      </c>
      <c r="I870" s="8">
        <f>42.4567 * CHOOSE(CONTROL!$C$15, $D$11, 100%, $F$11)</f>
        <v>42.456699999999998</v>
      </c>
      <c r="J870" s="4">
        <f>42.3125 * CHOOSE(CONTROL!$C$15, $D$11, 100%, $F$11)</f>
        <v>42.3125</v>
      </c>
      <c r="K870" s="4"/>
      <c r="L870" s="9">
        <v>26.469899999999999</v>
      </c>
      <c r="M870" s="9">
        <v>10.8962</v>
      </c>
      <c r="N870" s="9">
        <v>4.4660000000000002</v>
      </c>
      <c r="O870" s="9">
        <v>0.33789999999999998</v>
      </c>
      <c r="P870" s="9">
        <v>1.1676</v>
      </c>
      <c r="Q870" s="9">
        <v>17.782800000000002</v>
      </c>
      <c r="R870" s="9"/>
      <c r="S870" s="11"/>
    </row>
    <row r="871" spans="1:19" ht="15.75">
      <c r="A871" s="13">
        <v>68027</v>
      </c>
      <c r="B871" s="8">
        <f>43.1611 * CHOOSE(CONTROL!$C$15, $D$11, 100%, $F$11)</f>
        <v>43.161099999999998</v>
      </c>
      <c r="C871" s="8">
        <f>43.1663 * CHOOSE(CONTROL!$C$15, $D$11, 100%, $F$11)</f>
        <v>43.1663</v>
      </c>
      <c r="D871" s="8">
        <f>43.1483 * CHOOSE( CONTROL!$C$15, $D$11, 100%, $F$11)</f>
        <v>43.148299999999999</v>
      </c>
      <c r="E871" s="12">
        <f>43.1543 * CHOOSE( CONTROL!$C$15, $D$11, 100%, $F$11)</f>
        <v>43.154299999999999</v>
      </c>
      <c r="F871" s="4">
        <f>43.8116 * CHOOSE(CONTROL!$C$15, $D$11, 100%, $F$11)</f>
        <v>43.811599999999999</v>
      </c>
      <c r="G871" s="8">
        <f>42.1414 * CHOOSE( CONTROL!$C$15, $D$11, 100%, $F$11)</f>
        <v>42.141399999999997</v>
      </c>
      <c r="H871" s="4">
        <f>43.0257 * CHOOSE(CONTROL!$C$15, $D$11, 100%, $F$11)</f>
        <v>43.025700000000001</v>
      </c>
      <c r="I871" s="8">
        <f>41.5543 * CHOOSE(CONTROL!$C$15, $D$11, 100%, $F$11)</f>
        <v>41.554299999999998</v>
      </c>
      <c r="J871" s="4">
        <f>41.4118 * CHOOSE(CONTROL!$C$15, $D$11, 100%, $F$11)</f>
        <v>41.411799999999999</v>
      </c>
      <c r="K871" s="4"/>
      <c r="L871" s="9">
        <v>29.306000000000001</v>
      </c>
      <c r="M871" s="9">
        <v>12.063700000000001</v>
      </c>
      <c r="N871" s="9">
        <v>4.9444999999999997</v>
      </c>
      <c r="O871" s="9">
        <v>0.37409999999999999</v>
      </c>
      <c r="P871" s="9">
        <v>1.2927</v>
      </c>
      <c r="Q871" s="9">
        <v>19.688099999999999</v>
      </c>
      <c r="R871" s="9"/>
      <c r="S871" s="11"/>
    </row>
    <row r="872" spans="1:19" ht="15.75">
      <c r="A872" s="13">
        <v>68057</v>
      </c>
      <c r="B872" s="8">
        <f>43.8175 * CHOOSE(CONTROL!$C$15, $D$11, 100%, $F$11)</f>
        <v>43.817500000000003</v>
      </c>
      <c r="C872" s="8">
        <f>43.8221 * CHOOSE(CONTROL!$C$15, $D$11, 100%, $F$11)</f>
        <v>43.822099999999999</v>
      </c>
      <c r="D872" s="8">
        <f>43.8532 * CHOOSE( CONTROL!$C$15, $D$11, 100%, $F$11)</f>
        <v>43.853200000000001</v>
      </c>
      <c r="E872" s="12">
        <f>43.8424 * CHOOSE( CONTROL!$C$15, $D$11, 100%, $F$11)</f>
        <v>43.842399999999998</v>
      </c>
      <c r="F872" s="4">
        <f>44.5312 * CHOOSE(CONTROL!$C$15, $D$11, 100%, $F$11)</f>
        <v>44.531199999999998</v>
      </c>
      <c r="G872" s="8">
        <f>42.7826 * CHOOSE( CONTROL!$C$15, $D$11, 100%, $F$11)</f>
        <v>42.782600000000002</v>
      </c>
      <c r="H872" s="4">
        <f>43.7286 * CHOOSE(CONTROL!$C$15, $D$11, 100%, $F$11)</f>
        <v>43.7286</v>
      </c>
      <c r="I872" s="8">
        <f>42.1746 * CHOOSE(CONTROL!$C$15, $D$11, 100%, $F$11)</f>
        <v>42.174599999999998</v>
      </c>
      <c r="J872" s="4">
        <f>42.0412 * CHOOSE(CONTROL!$C$15, $D$11, 100%, $F$11)</f>
        <v>42.041200000000003</v>
      </c>
      <c r="K872" s="4"/>
      <c r="L872" s="9">
        <v>30.092199999999998</v>
      </c>
      <c r="M872" s="9">
        <v>11.6745</v>
      </c>
      <c r="N872" s="9">
        <v>4.7850000000000001</v>
      </c>
      <c r="O872" s="9">
        <v>0.36199999999999999</v>
      </c>
      <c r="P872" s="9">
        <v>1.1791</v>
      </c>
      <c r="Q872" s="9">
        <v>19.053000000000001</v>
      </c>
      <c r="R872" s="9"/>
      <c r="S872" s="11"/>
    </row>
    <row r="873" spans="1:19" ht="15.75">
      <c r="A873" s="13">
        <v>68088</v>
      </c>
      <c r="B873" s="8">
        <f>CHOOSE( CONTROL!$C$32, 44.9912, 44.9856) * CHOOSE(CONTROL!$C$15, $D$11, 100%, $F$11)</f>
        <v>44.991199999999999</v>
      </c>
      <c r="C873" s="8">
        <f>CHOOSE( CONTROL!$C$32, 44.9992, 44.9937) * CHOOSE(CONTROL!$C$15, $D$11, 100%, $F$11)</f>
        <v>44.999200000000002</v>
      </c>
      <c r="D873" s="8">
        <f>CHOOSE( CONTROL!$C$32, 45.0252, 45.0196) * CHOOSE( CONTROL!$C$15, $D$11, 100%, $F$11)</f>
        <v>45.025199999999998</v>
      </c>
      <c r="E873" s="12">
        <f>CHOOSE( CONTROL!$C$32, 45.0146, 45.009) * CHOOSE( CONTROL!$C$15, $D$11, 100%, $F$11)</f>
        <v>45.014600000000002</v>
      </c>
      <c r="F873" s="4">
        <f>CHOOSE( CONTROL!$C$32, 45.7035, 45.698) * CHOOSE(CONTROL!$C$15, $D$11, 100%, $F$11)</f>
        <v>45.703499999999998</v>
      </c>
      <c r="G873" s="8">
        <f>CHOOSE( CONTROL!$C$32, 43.9287, 43.9233) * CHOOSE( CONTROL!$C$15, $D$11, 100%, $F$11)</f>
        <v>43.928699999999999</v>
      </c>
      <c r="H873" s="4">
        <f>CHOOSE( CONTROL!$C$32, 44.8736, 44.8682) * CHOOSE(CONTROL!$C$15, $D$11, 100%, $F$11)</f>
        <v>44.873600000000003</v>
      </c>
      <c r="I873" s="8">
        <f>CHOOSE( CONTROL!$C$32, 43.3006, 43.2953) * CHOOSE(CONTROL!$C$15, $D$11, 100%, $F$11)</f>
        <v>43.300600000000003</v>
      </c>
      <c r="J873" s="4">
        <f>CHOOSE( CONTROL!$C$32, 43.1668, 43.1614) * CHOOSE(CONTROL!$C$15, $D$11, 100%, $F$11)</f>
        <v>43.166800000000002</v>
      </c>
      <c r="K873" s="4"/>
      <c r="L873" s="9">
        <v>30.7165</v>
      </c>
      <c r="M873" s="9">
        <v>12.063700000000001</v>
      </c>
      <c r="N873" s="9">
        <v>4.9444999999999997</v>
      </c>
      <c r="O873" s="9">
        <v>0.37409999999999999</v>
      </c>
      <c r="P873" s="9">
        <v>1.2183999999999999</v>
      </c>
      <c r="Q873" s="9">
        <v>19.688099999999999</v>
      </c>
      <c r="R873" s="9"/>
      <c r="S873" s="11"/>
    </row>
    <row r="874" spans="1:19" ht="15.75">
      <c r="A874" s="13">
        <v>68118</v>
      </c>
      <c r="B874" s="8">
        <f>CHOOSE( CONTROL!$C$32, 44.2684, 44.2628) * CHOOSE(CONTROL!$C$15, $D$11, 100%, $F$11)</f>
        <v>44.2684</v>
      </c>
      <c r="C874" s="8">
        <f>CHOOSE( CONTROL!$C$32, 44.2765, 44.2709) * CHOOSE(CONTROL!$C$15, $D$11, 100%, $F$11)</f>
        <v>44.276499999999999</v>
      </c>
      <c r="D874" s="8">
        <f>CHOOSE( CONTROL!$C$32, 44.3026, 44.297) * CHOOSE( CONTROL!$C$15, $D$11, 100%, $F$11)</f>
        <v>44.302599999999998</v>
      </c>
      <c r="E874" s="12">
        <f>CHOOSE( CONTROL!$C$32, 44.2919, 44.2863) * CHOOSE( CONTROL!$C$15, $D$11, 100%, $F$11)</f>
        <v>44.291899999999998</v>
      </c>
      <c r="F874" s="4">
        <f>CHOOSE( CONTROL!$C$32, 44.9808, 44.9752) * CHOOSE(CONTROL!$C$15, $D$11, 100%, $F$11)</f>
        <v>44.980800000000002</v>
      </c>
      <c r="G874" s="8">
        <f>CHOOSE( CONTROL!$C$32, 43.223, 43.2176) * CHOOSE( CONTROL!$C$15, $D$11, 100%, $F$11)</f>
        <v>43.222999999999999</v>
      </c>
      <c r="H874" s="4">
        <f>CHOOSE( CONTROL!$C$32, 44.1677, 44.1622) * CHOOSE(CONTROL!$C$15, $D$11, 100%, $F$11)</f>
        <v>44.167700000000004</v>
      </c>
      <c r="I874" s="8">
        <f>CHOOSE( CONTROL!$C$32, 42.6072, 42.6018) * CHOOSE(CONTROL!$C$15, $D$11, 100%, $F$11)</f>
        <v>42.607199999999999</v>
      </c>
      <c r="J874" s="4">
        <f>CHOOSE( CONTROL!$C$32, 42.4728, 42.4675) * CHOOSE(CONTROL!$C$15, $D$11, 100%, $F$11)</f>
        <v>42.472799999999999</v>
      </c>
      <c r="K874" s="4"/>
      <c r="L874" s="9">
        <v>29.7257</v>
      </c>
      <c r="M874" s="9">
        <v>11.6745</v>
      </c>
      <c r="N874" s="9">
        <v>4.7850000000000001</v>
      </c>
      <c r="O874" s="9">
        <v>0.36199999999999999</v>
      </c>
      <c r="P874" s="9">
        <v>1.1791</v>
      </c>
      <c r="Q874" s="9">
        <v>19.053000000000001</v>
      </c>
      <c r="R874" s="9"/>
      <c r="S874" s="11"/>
    </row>
    <row r="875" spans="1:19" ht="15.75">
      <c r="A875" s="13">
        <v>68149</v>
      </c>
      <c r="B875" s="8">
        <f>CHOOSE( CONTROL!$C$32, 46.1717, 46.1661) * CHOOSE(CONTROL!$C$15, $D$11, 100%, $F$11)</f>
        <v>46.171700000000001</v>
      </c>
      <c r="C875" s="8">
        <f>CHOOSE( CONTROL!$C$32, 46.1798, 46.1742) * CHOOSE(CONTROL!$C$15, $D$11, 100%, $F$11)</f>
        <v>46.1798</v>
      </c>
      <c r="D875" s="8">
        <f>CHOOSE( CONTROL!$C$32, 46.2061, 46.2006) * CHOOSE( CONTROL!$C$15, $D$11, 100%, $F$11)</f>
        <v>46.206099999999999</v>
      </c>
      <c r="E875" s="12">
        <f>CHOOSE( CONTROL!$C$32, 46.1953, 46.1898) * CHOOSE( CONTROL!$C$15, $D$11, 100%, $F$11)</f>
        <v>46.195300000000003</v>
      </c>
      <c r="F875" s="4">
        <f>CHOOSE( CONTROL!$C$32, 46.8841, 46.8785) * CHOOSE(CONTROL!$C$15, $D$11, 100%, $F$11)</f>
        <v>46.884099999999997</v>
      </c>
      <c r="G875" s="8">
        <f>CHOOSE( CONTROL!$C$32, 45.0823, 45.0769) * CHOOSE( CONTROL!$C$15, $D$11, 100%, $F$11)</f>
        <v>45.082299999999996</v>
      </c>
      <c r="H875" s="4">
        <f>CHOOSE( CONTROL!$C$32, 46.0266, 46.0212) * CHOOSE(CONTROL!$C$15, $D$11, 100%, $F$11)</f>
        <v>46.026600000000002</v>
      </c>
      <c r="I875" s="8">
        <f>CHOOSE( CONTROL!$C$32, 44.4364, 44.4311) * CHOOSE(CONTROL!$C$15, $D$11, 100%, $F$11)</f>
        <v>44.436399999999999</v>
      </c>
      <c r="J875" s="4">
        <f>CHOOSE( CONTROL!$C$32, 44.3002, 44.2949) * CHOOSE(CONTROL!$C$15, $D$11, 100%, $F$11)</f>
        <v>44.300199999999997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1.2183999999999999</v>
      </c>
      <c r="Q875" s="9">
        <v>19.688099999999999</v>
      </c>
      <c r="R875" s="9"/>
      <c r="S875" s="11"/>
    </row>
    <row r="876" spans="1:19" ht="15.75">
      <c r="A876" s="13">
        <v>68180</v>
      </c>
      <c r="B876" s="8">
        <f>CHOOSE( CONTROL!$C$32, 42.6104, 42.6048) * CHOOSE(CONTROL!$C$15, $D$11, 100%, $F$11)</f>
        <v>42.610399999999998</v>
      </c>
      <c r="C876" s="8">
        <f>CHOOSE( CONTROL!$C$32, 42.6185, 42.6129) * CHOOSE(CONTROL!$C$15, $D$11, 100%, $F$11)</f>
        <v>42.618499999999997</v>
      </c>
      <c r="D876" s="8">
        <f>CHOOSE( CONTROL!$C$32, 42.6449, 42.6393) * CHOOSE( CONTROL!$C$15, $D$11, 100%, $F$11)</f>
        <v>42.6449</v>
      </c>
      <c r="E876" s="12">
        <f>CHOOSE( CONTROL!$C$32, 42.6341, 42.6285) * CHOOSE( CONTROL!$C$15, $D$11, 100%, $F$11)</f>
        <v>42.634099999999997</v>
      </c>
      <c r="F876" s="4">
        <f>CHOOSE( CONTROL!$C$32, 43.3228, 43.3172) * CHOOSE(CONTROL!$C$15, $D$11, 100%, $F$11)</f>
        <v>43.322800000000001</v>
      </c>
      <c r="G876" s="8">
        <f>CHOOSE( CONTROL!$C$32, 41.6041, 41.5986) * CHOOSE( CONTROL!$C$15, $D$11, 100%, $F$11)</f>
        <v>41.604100000000003</v>
      </c>
      <c r="H876" s="4">
        <f>CHOOSE( CONTROL!$C$32, 42.5483, 42.5428) * CHOOSE(CONTROL!$C$15, $D$11, 100%, $F$11)</f>
        <v>42.548299999999998</v>
      </c>
      <c r="I876" s="8">
        <f>CHOOSE( CONTROL!$C$32, 41.0158, 41.0104) * CHOOSE(CONTROL!$C$15, $D$11, 100%, $F$11)</f>
        <v>41.015799999999999</v>
      </c>
      <c r="J876" s="4">
        <f>CHOOSE( CONTROL!$C$32, 40.881, 40.8756) * CHOOSE(CONTROL!$C$15, $D$11, 100%, $F$11)</f>
        <v>40.881</v>
      </c>
      <c r="K876" s="4"/>
      <c r="L876" s="9">
        <v>30.7165</v>
      </c>
      <c r="M876" s="9">
        <v>12.063700000000001</v>
      </c>
      <c r="N876" s="9">
        <v>4.9444999999999997</v>
      </c>
      <c r="O876" s="9">
        <v>0.37409999999999999</v>
      </c>
      <c r="P876" s="9">
        <v>1.2183999999999999</v>
      </c>
      <c r="Q876" s="9">
        <v>19.688099999999999</v>
      </c>
      <c r="R876" s="9"/>
      <c r="S876" s="11"/>
    </row>
    <row r="877" spans="1:19" ht="15.75">
      <c r="A877" s="13">
        <v>68210</v>
      </c>
      <c r="B877" s="8">
        <f>CHOOSE( CONTROL!$C$32, 41.7186, 41.713) * CHOOSE(CONTROL!$C$15, $D$11, 100%, $F$11)</f>
        <v>41.718600000000002</v>
      </c>
      <c r="C877" s="8">
        <f>CHOOSE( CONTROL!$C$32, 41.7267, 41.7211) * CHOOSE(CONTROL!$C$15, $D$11, 100%, $F$11)</f>
        <v>41.726700000000001</v>
      </c>
      <c r="D877" s="8">
        <f>CHOOSE( CONTROL!$C$32, 41.753, 41.7474) * CHOOSE( CONTROL!$C$15, $D$11, 100%, $F$11)</f>
        <v>41.753</v>
      </c>
      <c r="E877" s="12">
        <f>CHOOSE( CONTROL!$C$32, 41.7422, 41.7366) * CHOOSE( CONTROL!$C$15, $D$11, 100%, $F$11)</f>
        <v>41.742199999999997</v>
      </c>
      <c r="F877" s="4">
        <f>CHOOSE( CONTROL!$C$32, 42.431, 42.4254) * CHOOSE(CONTROL!$C$15, $D$11, 100%, $F$11)</f>
        <v>42.430999999999997</v>
      </c>
      <c r="G877" s="8">
        <f>CHOOSE( CONTROL!$C$32, 40.733, 40.7275) * CHOOSE( CONTROL!$C$15, $D$11, 100%, $F$11)</f>
        <v>40.732999999999997</v>
      </c>
      <c r="H877" s="4">
        <f>CHOOSE( CONTROL!$C$32, 41.6772, 41.6718) * CHOOSE(CONTROL!$C$15, $D$11, 100%, $F$11)</f>
        <v>41.677199999999999</v>
      </c>
      <c r="I877" s="8">
        <f>CHOOSE( CONTROL!$C$32, 40.1589, 40.1535) * CHOOSE(CONTROL!$C$15, $D$11, 100%, $F$11)</f>
        <v>40.158900000000003</v>
      </c>
      <c r="J877" s="4">
        <f>CHOOSE( CONTROL!$C$32, 40.0248, 40.0194) * CHOOSE(CONTROL!$C$15, $D$11, 100%, $F$11)</f>
        <v>40.024799999999999</v>
      </c>
      <c r="K877" s="4"/>
      <c r="L877" s="9">
        <v>29.7257</v>
      </c>
      <c r="M877" s="9">
        <v>11.6745</v>
      </c>
      <c r="N877" s="9">
        <v>4.7850000000000001</v>
      </c>
      <c r="O877" s="9">
        <v>0.36199999999999999</v>
      </c>
      <c r="P877" s="9">
        <v>1.1791</v>
      </c>
      <c r="Q877" s="9">
        <v>19.053000000000001</v>
      </c>
      <c r="R877" s="9"/>
      <c r="S877" s="11"/>
    </row>
    <row r="878" spans="1:19" ht="15.75">
      <c r="A878" s="13">
        <v>68241</v>
      </c>
      <c r="B878" s="8">
        <f>43.563 * CHOOSE(CONTROL!$C$15, $D$11, 100%, $F$11)</f>
        <v>43.563000000000002</v>
      </c>
      <c r="C878" s="8">
        <f>43.5684 * CHOOSE(CONTROL!$C$15, $D$11, 100%, $F$11)</f>
        <v>43.568399999999997</v>
      </c>
      <c r="D878" s="8">
        <f>43.5996 * CHOOSE( CONTROL!$C$15, $D$11, 100%, $F$11)</f>
        <v>43.599600000000002</v>
      </c>
      <c r="E878" s="12">
        <f>43.5887 * CHOOSE( CONTROL!$C$15, $D$11, 100%, $F$11)</f>
        <v>43.588700000000003</v>
      </c>
      <c r="F878" s="4">
        <f>44.2771 * CHOOSE(CONTROL!$C$15, $D$11, 100%, $F$11)</f>
        <v>44.277099999999997</v>
      </c>
      <c r="G878" s="8">
        <f>42.5352 * CHOOSE( CONTROL!$C$15, $D$11, 100%, $F$11)</f>
        <v>42.535200000000003</v>
      </c>
      <c r="H878" s="4">
        <f>43.4804 * CHOOSE(CONTROL!$C$15, $D$11, 100%, $F$11)</f>
        <v>43.480400000000003</v>
      </c>
      <c r="I878" s="8">
        <f>41.9331 * CHOOSE(CONTROL!$C$15, $D$11, 100%, $F$11)</f>
        <v>41.933100000000003</v>
      </c>
      <c r="J878" s="4">
        <f>41.7972 * CHOOSE(CONTROL!$C$15, $D$11, 100%, $F$11)</f>
        <v>41.797199999999997</v>
      </c>
      <c r="K878" s="4"/>
      <c r="L878" s="9">
        <v>31.095300000000002</v>
      </c>
      <c r="M878" s="9">
        <v>12.063700000000001</v>
      </c>
      <c r="N878" s="9">
        <v>4.9444999999999997</v>
      </c>
      <c r="O878" s="9">
        <v>0.37409999999999999</v>
      </c>
      <c r="P878" s="9">
        <v>1.2183999999999999</v>
      </c>
      <c r="Q878" s="9">
        <v>19.688099999999999</v>
      </c>
      <c r="R878" s="9"/>
      <c r="S878" s="11"/>
    </row>
    <row r="879" spans="1:19" ht="15.75">
      <c r="A879" s="13">
        <v>68271</v>
      </c>
      <c r="B879" s="8">
        <f>46.9804 * CHOOSE(CONTROL!$C$15, $D$11, 100%, $F$11)</f>
        <v>46.980400000000003</v>
      </c>
      <c r="C879" s="8">
        <f>46.9856 * CHOOSE(CONTROL!$C$15, $D$11, 100%, $F$11)</f>
        <v>46.985599999999998</v>
      </c>
      <c r="D879" s="8">
        <f>46.9718 * CHOOSE( CONTROL!$C$15, $D$11, 100%, $F$11)</f>
        <v>46.971800000000002</v>
      </c>
      <c r="E879" s="12">
        <f>46.9763 * CHOOSE( CONTROL!$C$15, $D$11, 100%, $F$11)</f>
        <v>46.976300000000002</v>
      </c>
      <c r="F879" s="4">
        <f>47.6309 * CHOOSE(CONTROL!$C$15, $D$11, 100%, $F$11)</f>
        <v>47.630899999999997</v>
      </c>
      <c r="G879" s="8">
        <f>45.881 * CHOOSE( CONTROL!$C$15, $D$11, 100%, $F$11)</f>
        <v>45.881</v>
      </c>
      <c r="H879" s="4">
        <f>46.756 * CHOOSE(CONTROL!$C$15, $D$11, 100%, $F$11)</f>
        <v>46.756</v>
      </c>
      <c r="I879" s="8">
        <f>45.2598 * CHOOSE(CONTROL!$C$15, $D$11, 100%, $F$11)</f>
        <v>45.259799999999998</v>
      </c>
      <c r="J879" s="4">
        <f>45.0787 * CHOOSE(CONTROL!$C$15, $D$11, 100%, $F$11)</f>
        <v>45.078699999999998</v>
      </c>
      <c r="K879" s="4"/>
      <c r="L879" s="9">
        <v>28.360600000000002</v>
      </c>
      <c r="M879" s="9">
        <v>11.6745</v>
      </c>
      <c r="N879" s="9">
        <v>4.7850000000000001</v>
      </c>
      <c r="O879" s="9">
        <v>0.36199999999999999</v>
      </c>
      <c r="P879" s="9">
        <v>1.2509999999999999</v>
      </c>
      <c r="Q879" s="9">
        <v>19.053000000000001</v>
      </c>
      <c r="R879" s="9"/>
      <c r="S879" s="11"/>
    </row>
    <row r="880" spans="1:19" ht="15.75">
      <c r="A880" s="13">
        <v>68302</v>
      </c>
      <c r="B880" s="8">
        <f>46.895 * CHOOSE(CONTROL!$C$15, $D$11, 100%, $F$11)</f>
        <v>46.895000000000003</v>
      </c>
      <c r="C880" s="8">
        <f>46.9002 * CHOOSE(CONTROL!$C$15, $D$11, 100%, $F$11)</f>
        <v>46.900199999999998</v>
      </c>
      <c r="D880" s="8">
        <f>46.8879 * CHOOSE( CONTROL!$C$15, $D$11, 100%, $F$11)</f>
        <v>46.887900000000002</v>
      </c>
      <c r="E880" s="12">
        <f>46.8918 * CHOOSE( CONTROL!$C$15, $D$11, 100%, $F$11)</f>
        <v>46.891800000000003</v>
      </c>
      <c r="F880" s="4">
        <f>47.5455 * CHOOSE(CONTROL!$C$15, $D$11, 100%, $F$11)</f>
        <v>47.545499999999997</v>
      </c>
      <c r="G880" s="8">
        <f>45.7987 * CHOOSE( CONTROL!$C$15, $D$11, 100%, $F$11)</f>
        <v>45.798699999999997</v>
      </c>
      <c r="H880" s="4">
        <f>46.6726 * CHOOSE(CONTROL!$C$15, $D$11, 100%, $F$11)</f>
        <v>46.672600000000003</v>
      </c>
      <c r="I880" s="8">
        <f>45.1825 * CHOOSE(CONTROL!$C$15, $D$11, 100%, $F$11)</f>
        <v>45.182499999999997</v>
      </c>
      <c r="J880" s="4">
        <f>44.9967 * CHOOSE(CONTROL!$C$15, $D$11, 100%, $F$11)</f>
        <v>44.996699999999997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68333</v>
      </c>
      <c r="B881" s="8">
        <f>48.6862 * CHOOSE(CONTROL!$C$15, $D$11, 100%, $F$11)</f>
        <v>48.686199999999999</v>
      </c>
      <c r="C881" s="8">
        <f>48.6914 * CHOOSE(CONTROL!$C$15, $D$11, 100%, $F$11)</f>
        <v>48.691400000000002</v>
      </c>
      <c r="D881" s="8">
        <f>48.6738 * CHOOSE( CONTROL!$C$15, $D$11, 100%, $F$11)</f>
        <v>48.6738</v>
      </c>
      <c r="E881" s="12">
        <f>48.6797 * CHOOSE( CONTROL!$C$15, $D$11, 100%, $F$11)</f>
        <v>48.679699999999997</v>
      </c>
      <c r="F881" s="4">
        <f>49.3367 * CHOOSE(CONTROL!$C$15, $D$11, 100%, $F$11)</f>
        <v>49.3367</v>
      </c>
      <c r="G881" s="8">
        <f>47.5381 * CHOOSE( CONTROL!$C$15, $D$11, 100%, $F$11)</f>
        <v>47.5381</v>
      </c>
      <c r="H881" s="4">
        <f>48.4221 * CHOOSE(CONTROL!$C$15, $D$11, 100%, $F$11)</f>
        <v>48.4221</v>
      </c>
      <c r="I881" s="8">
        <f>46.863 * CHOOSE(CONTROL!$C$15, $D$11, 100%, $F$11)</f>
        <v>46.863</v>
      </c>
      <c r="J881" s="4">
        <f>46.7165 * CHOOSE(CONTROL!$C$15, $D$11, 100%, $F$11)</f>
        <v>46.716500000000003</v>
      </c>
      <c r="K881" s="4"/>
      <c r="L881" s="9">
        <v>29.306000000000001</v>
      </c>
      <c r="M881" s="9">
        <v>12.063700000000001</v>
      </c>
      <c r="N881" s="9">
        <v>4.9444999999999997</v>
      </c>
      <c r="O881" s="9">
        <v>0.37409999999999999</v>
      </c>
      <c r="P881" s="9">
        <v>1.2927</v>
      </c>
      <c r="Q881" s="9">
        <v>19.688099999999999</v>
      </c>
      <c r="R881" s="9"/>
      <c r="S881" s="11"/>
    </row>
    <row r="882" spans="1:19" ht="15.75">
      <c r="A882" s="13">
        <v>68361</v>
      </c>
      <c r="B882" s="8">
        <f>45.5406 * CHOOSE(CONTROL!$C$15, $D$11, 100%, $F$11)</f>
        <v>45.540599999999998</v>
      </c>
      <c r="C882" s="8">
        <f>45.5458 * CHOOSE(CONTROL!$C$15, $D$11, 100%, $F$11)</f>
        <v>45.5458</v>
      </c>
      <c r="D882" s="8">
        <f>45.5281 * CHOOSE( CONTROL!$C$15, $D$11, 100%, $F$11)</f>
        <v>45.528100000000002</v>
      </c>
      <c r="E882" s="12">
        <f>45.534 * CHOOSE( CONTROL!$C$15, $D$11, 100%, $F$11)</f>
        <v>45.533999999999999</v>
      </c>
      <c r="F882" s="4">
        <f>46.191 * CHOOSE(CONTROL!$C$15, $D$11, 100%, $F$11)</f>
        <v>46.191000000000003</v>
      </c>
      <c r="G882" s="8">
        <f>44.4657 * CHOOSE( CONTROL!$C$15, $D$11, 100%, $F$11)</f>
        <v>44.465699999999998</v>
      </c>
      <c r="H882" s="4">
        <f>45.3497 * CHOOSE(CONTROL!$C$15, $D$11, 100%, $F$11)</f>
        <v>45.349699999999999</v>
      </c>
      <c r="I882" s="8">
        <f>43.8412 * CHOOSE(CONTROL!$C$15, $D$11, 100%, $F$11)</f>
        <v>43.841200000000001</v>
      </c>
      <c r="J882" s="4">
        <f>43.6963 * CHOOSE(CONTROL!$C$15, $D$11, 100%, $F$11)</f>
        <v>43.696300000000001</v>
      </c>
      <c r="K882" s="4"/>
      <c r="L882" s="9">
        <v>26.469899999999999</v>
      </c>
      <c r="M882" s="9">
        <v>10.8962</v>
      </c>
      <c r="N882" s="9">
        <v>4.4660000000000002</v>
      </c>
      <c r="O882" s="9">
        <v>0.33789999999999998</v>
      </c>
      <c r="P882" s="9">
        <v>1.1676</v>
      </c>
      <c r="Q882" s="9">
        <v>17.782800000000002</v>
      </c>
      <c r="R882" s="9"/>
      <c r="S882" s="11"/>
    </row>
    <row r="883" spans="1:19" ht="15.75">
      <c r="A883" s="13">
        <v>68392</v>
      </c>
      <c r="B883" s="8">
        <f>44.5717 * CHOOSE(CONTROL!$C$15, $D$11, 100%, $F$11)</f>
        <v>44.5717</v>
      </c>
      <c r="C883" s="8">
        <f>44.5769 * CHOOSE(CONTROL!$C$15, $D$11, 100%, $F$11)</f>
        <v>44.576900000000002</v>
      </c>
      <c r="D883" s="8">
        <f>44.5589 * CHOOSE( CONTROL!$C$15, $D$11, 100%, $F$11)</f>
        <v>44.558900000000001</v>
      </c>
      <c r="E883" s="12">
        <f>44.5649 * CHOOSE( CONTROL!$C$15, $D$11, 100%, $F$11)</f>
        <v>44.564900000000002</v>
      </c>
      <c r="F883" s="4">
        <f>45.2222 * CHOOSE(CONTROL!$C$15, $D$11, 100%, $F$11)</f>
        <v>45.222200000000001</v>
      </c>
      <c r="G883" s="8">
        <f>43.5192 * CHOOSE( CONTROL!$C$15, $D$11, 100%, $F$11)</f>
        <v>43.519199999999998</v>
      </c>
      <c r="H883" s="4">
        <f>44.4034 * CHOOSE(CONTROL!$C$15, $D$11, 100%, $F$11)</f>
        <v>44.403399999999998</v>
      </c>
      <c r="I883" s="8">
        <f>42.9093 * CHOOSE(CONTROL!$C$15, $D$11, 100%, $F$11)</f>
        <v>42.909300000000002</v>
      </c>
      <c r="J883" s="4">
        <f>42.7661 * CHOOSE(CONTROL!$C$15, $D$11, 100%, $F$11)</f>
        <v>42.766100000000002</v>
      </c>
      <c r="K883" s="4"/>
      <c r="L883" s="9">
        <v>29.306000000000001</v>
      </c>
      <c r="M883" s="9">
        <v>12.063700000000001</v>
      </c>
      <c r="N883" s="9">
        <v>4.9444999999999997</v>
      </c>
      <c r="O883" s="9">
        <v>0.37409999999999999</v>
      </c>
      <c r="P883" s="9">
        <v>1.2927</v>
      </c>
      <c r="Q883" s="9">
        <v>19.688099999999999</v>
      </c>
      <c r="R883" s="9"/>
      <c r="S883" s="11"/>
    </row>
    <row r="884" spans="1:19" ht="15.75">
      <c r="A884" s="13">
        <v>68422</v>
      </c>
      <c r="B884" s="8">
        <f>45.2495 * CHOOSE(CONTROL!$C$15, $D$11, 100%, $F$11)</f>
        <v>45.249499999999998</v>
      </c>
      <c r="C884" s="8">
        <f>45.2541 * CHOOSE(CONTROL!$C$15, $D$11, 100%, $F$11)</f>
        <v>45.254100000000001</v>
      </c>
      <c r="D884" s="8">
        <f>45.2852 * CHOOSE( CONTROL!$C$15, $D$11, 100%, $F$11)</f>
        <v>45.285200000000003</v>
      </c>
      <c r="E884" s="12">
        <f>45.2744 * CHOOSE( CONTROL!$C$15, $D$11, 100%, $F$11)</f>
        <v>45.2744</v>
      </c>
      <c r="F884" s="4">
        <f>45.9633 * CHOOSE(CONTROL!$C$15, $D$11, 100%, $F$11)</f>
        <v>45.963299999999997</v>
      </c>
      <c r="G884" s="8">
        <f>44.1813 * CHOOSE( CONTROL!$C$15, $D$11, 100%, $F$11)</f>
        <v>44.1813</v>
      </c>
      <c r="H884" s="4">
        <f>45.1272 * CHOOSE(CONTROL!$C$15, $D$11, 100%, $F$11)</f>
        <v>45.127200000000002</v>
      </c>
      <c r="I884" s="8">
        <f>43.5502 * CHOOSE(CONTROL!$C$15, $D$11, 100%, $F$11)</f>
        <v>43.550199999999997</v>
      </c>
      <c r="J884" s="4">
        <f>43.4161 * CHOOSE(CONTROL!$C$15, $D$11, 100%, $F$11)</f>
        <v>43.4161</v>
      </c>
      <c r="K884" s="4"/>
      <c r="L884" s="9">
        <v>30.092199999999998</v>
      </c>
      <c r="M884" s="9">
        <v>11.6745</v>
      </c>
      <c r="N884" s="9">
        <v>4.7850000000000001</v>
      </c>
      <c r="O884" s="9">
        <v>0.36199999999999999</v>
      </c>
      <c r="P884" s="9">
        <v>1.1791</v>
      </c>
      <c r="Q884" s="9">
        <v>19.053000000000001</v>
      </c>
      <c r="R884" s="9"/>
      <c r="S884" s="11"/>
    </row>
    <row r="885" spans="1:19" ht="15.75">
      <c r="A885" s="13">
        <v>68453</v>
      </c>
      <c r="B885" s="8">
        <f>CHOOSE( CONTROL!$C$32, 46.4614, 46.4558) * CHOOSE(CONTROL!$C$15, $D$11, 100%, $F$11)</f>
        <v>46.461399999999998</v>
      </c>
      <c r="C885" s="8">
        <f>CHOOSE( CONTROL!$C$32, 46.4694, 46.4639) * CHOOSE(CONTROL!$C$15, $D$11, 100%, $F$11)</f>
        <v>46.4694</v>
      </c>
      <c r="D885" s="8">
        <f>CHOOSE( CONTROL!$C$32, 46.4954, 46.4898) * CHOOSE( CONTROL!$C$15, $D$11, 100%, $F$11)</f>
        <v>46.495399999999997</v>
      </c>
      <c r="E885" s="12">
        <f>CHOOSE( CONTROL!$C$32, 46.4848, 46.4792) * CHOOSE( CONTROL!$C$15, $D$11, 100%, $F$11)</f>
        <v>46.4848</v>
      </c>
      <c r="F885" s="4">
        <f>CHOOSE( CONTROL!$C$32, 47.1737, 47.1682) * CHOOSE(CONTROL!$C$15, $D$11, 100%, $F$11)</f>
        <v>47.173699999999997</v>
      </c>
      <c r="G885" s="8">
        <f>CHOOSE( CONTROL!$C$32, 45.3647, 45.3592) * CHOOSE( CONTROL!$C$15, $D$11, 100%, $F$11)</f>
        <v>45.364699999999999</v>
      </c>
      <c r="H885" s="4">
        <f>CHOOSE( CONTROL!$C$32, 46.3095, 46.3041) * CHOOSE(CONTROL!$C$15, $D$11, 100%, $F$11)</f>
        <v>46.3095</v>
      </c>
      <c r="I885" s="8">
        <f>CHOOSE( CONTROL!$C$32, 44.7129, 44.7075) * CHOOSE(CONTROL!$C$15, $D$11, 100%, $F$11)</f>
        <v>44.712899999999998</v>
      </c>
      <c r="J885" s="4">
        <f>CHOOSE( CONTROL!$C$32, 44.5783, 44.573) * CHOOSE(CONTROL!$C$15, $D$11, 100%, $F$11)</f>
        <v>44.578299999999999</v>
      </c>
      <c r="K885" s="4"/>
      <c r="L885" s="9">
        <v>30.7165</v>
      </c>
      <c r="M885" s="9">
        <v>12.063700000000001</v>
      </c>
      <c r="N885" s="9">
        <v>4.9444999999999997</v>
      </c>
      <c r="O885" s="9">
        <v>0.37409999999999999</v>
      </c>
      <c r="P885" s="9">
        <v>1.2183999999999999</v>
      </c>
      <c r="Q885" s="9">
        <v>19.688099999999999</v>
      </c>
      <c r="R885" s="9"/>
      <c r="S885" s="11"/>
    </row>
    <row r="886" spans="1:19" ht="15.75">
      <c r="A886" s="13">
        <v>68483</v>
      </c>
      <c r="B886" s="8">
        <f>CHOOSE( CONTROL!$C$32, 45.7149, 45.7094) * CHOOSE(CONTROL!$C$15, $D$11, 100%, $F$11)</f>
        <v>45.7149</v>
      </c>
      <c r="C886" s="8">
        <f>CHOOSE( CONTROL!$C$32, 45.723, 45.7175) * CHOOSE(CONTROL!$C$15, $D$11, 100%, $F$11)</f>
        <v>45.722999999999999</v>
      </c>
      <c r="D886" s="8">
        <f>CHOOSE( CONTROL!$C$32, 45.7492, 45.7436) * CHOOSE( CONTROL!$C$15, $D$11, 100%, $F$11)</f>
        <v>45.749200000000002</v>
      </c>
      <c r="E886" s="12">
        <f>CHOOSE( CONTROL!$C$32, 45.7385, 45.7329) * CHOOSE( CONTROL!$C$15, $D$11, 100%, $F$11)</f>
        <v>45.738500000000002</v>
      </c>
      <c r="F886" s="4">
        <f>CHOOSE( CONTROL!$C$32, 46.4273, 46.4218) * CHOOSE(CONTROL!$C$15, $D$11, 100%, $F$11)</f>
        <v>46.427300000000002</v>
      </c>
      <c r="G886" s="8">
        <f>CHOOSE( CONTROL!$C$32, 44.6359, 44.6305) * CHOOSE( CONTROL!$C$15, $D$11, 100%, $F$11)</f>
        <v>44.635899999999999</v>
      </c>
      <c r="H886" s="4">
        <f>CHOOSE( CONTROL!$C$32, 45.5805, 45.5751) * CHOOSE(CONTROL!$C$15, $D$11, 100%, $F$11)</f>
        <v>45.580500000000001</v>
      </c>
      <c r="I886" s="8">
        <f>CHOOSE( CONTROL!$C$32, 43.9967, 43.9914) * CHOOSE(CONTROL!$C$15, $D$11, 100%, $F$11)</f>
        <v>43.996699999999997</v>
      </c>
      <c r="J886" s="4">
        <f>CHOOSE( CONTROL!$C$32, 43.8617, 43.8563) * CHOOSE(CONTROL!$C$15, $D$11, 100%, $F$11)</f>
        <v>43.861699999999999</v>
      </c>
      <c r="K886" s="4"/>
      <c r="L886" s="9">
        <v>29.7257</v>
      </c>
      <c r="M886" s="9">
        <v>11.6745</v>
      </c>
      <c r="N886" s="9">
        <v>4.7850000000000001</v>
      </c>
      <c r="O886" s="9">
        <v>0.36199999999999999</v>
      </c>
      <c r="P886" s="9">
        <v>1.1791</v>
      </c>
      <c r="Q886" s="9">
        <v>19.053000000000001</v>
      </c>
      <c r="R886" s="9"/>
      <c r="S886" s="11"/>
    </row>
    <row r="887" spans="1:19" ht="15.75">
      <c r="A887" s="13">
        <v>68514</v>
      </c>
      <c r="B887" s="8">
        <f>CHOOSE( CONTROL!$C$32, 47.6805, 47.675) * CHOOSE(CONTROL!$C$15, $D$11, 100%, $F$11)</f>
        <v>47.680500000000002</v>
      </c>
      <c r="C887" s="8">
        <f>CHOOSE( CONTROL!$C$32, 47.6886, 47.683) * CHOOSE(CONTROL!$C$15, $D$11, 100%, $F$11)</f>
        <v>47.688600000000001</v>
      </c>
      <c r="D887" s="8">
        <f>CHOOSE( CONTROL!$C$32, 47.7149, 47.7094) * CHOOSE( CONTROL!$C$15, $D$11, 100%, $F$11)</f>
        <v>47.7149</v>
      </c>
      <c r="E887" s="12">
        <f>CHOOSE( CONTROL!$C$32, 47.7041, 47.6986) * CHOOSE( CONTROL!$C$15, $D$11, 100%, $F$11)</f>
        <v>47.704099999999997</v>
      </c>
      <c r="F887" s="4">
        <f>CHOOSE( CONTROL!$C$32, 48.3929, 48.3873) * CHOOSE(CONTROL!$C$15, $D$11, 100%, $F$11)</f>
        <v>48.392899999999997</v>
      </c>
      <c r="G887" s="8">
        <f>CHOOSE( CONTROL!$C$32, 46.556, 46.5506) * CHOOSE( CONTROL!$C$15, $D$11, 100%, $F$11)</f>
        <v>46.555999999999997</v>
      </c>
      <c r="H887" s="4">
        <f>CHOOSE( CONTROL!$C$32, 47.5003, 47.4949) * CHOOSE(CONTROL!$C$15, $D$11, 100%, $F$11)</f>
        <v>47.500300000000003</v>
      </c>
      <c r="I887" s="8">
        <f>CHOOSE( CONTROL!$C$32, 45.8858, 45.8804) * CHOOSE(CONTROL!$C$15, $D$11, 100%, $F$11)</f>
        <v>45.885800000000003</v>
      </c>
      <c r="J887" s="4">
        <f>CHOOSE( CONTROL!$C$32, 45.7488, 45.7435) * CHOOSE(CONTROL!$C$15, $D$11, 100%, $F$11)</f>
        <v>45.748800000000003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1.2183999999999999</v>
      </c>
      <c r="Q887" s="9">
        <v>19.688099999999999</v>
      </c>
      <c r="R887" s="9"/>
      <c r="S887" s="11"/>
    </row>
    <row r="888" spans="1:19" ht="15.75">
      <c r="A888" s="13">
        <v>68545</v>
      </c>
      <c r="B888" s="8">
        <f>CHOOSE( CONTROL!$C$32, 44.0027, 43.9971) * CHOOSE(CONTROL!$C$15, $D$11, 100%, $F$11)</f>
        <v>44.002699999999997</v>
      </c>
      <c r="C888" s="8">
        <f>CHOOSE( CONTROL!$C$32, 44.0108, 44.0052) * CHOOSE(CONTROL!$C$15, $D$11, 100%, $F$11)</f>
        <v>44.010800000000003</v>
      </c>
      <c r="D888" s="8">
        <f>CHOOSE( CONTROL!$C$32, 44.0372, 44.0316) * CHOOSE( CONTROL!$C$15, $D$11, 100%, $F$11)</f>
        <v>44.037199999999999</v>
      </c>
      <c r="E888" s="12">
        <f>CHOOSE( CONTROL!$C$32, 44.0264, 44.0208) * CHOOSE( CONTROL!$C$15, $D$11, 100%, $F$11)</f>
        <v>44.026400000000002</v>
      </c>
      <c r="F888" s="4">
        <f>CHOOSE( CONTROL!$C$32, 44.7151, 44.7095) * CHOOSE(CONTROL!$C$15, $D$11, 100%, $F$11)</f>
        <v>44.7151</v>
      </c>
      <c r="G888" s="8">
        <f>CHOOSE( CONTROL!$C$32, 42.964, 42.9585) * CHOOSE( CONTROL!$C$15, $D$11, 100%, $F$11)</f>
        <v>42.963999999999999</v>
      </c>
      <c r="H888" s="4">
        <f>CHOOSE( CONTROL!$C$32, 43.9082, 43.9027) * CHOOSE(CONTROL!$C$15, $D$11, 100%, $F$11)</f>
        <v>43.908200000000001</v>
      </c>
      <c r="I888" s="8">
        <f>CHOOSE( CONTROL!$C$32, 42.3532, 42.3479) * CHOOSE(CONTROL!$C$15, $D$11, 100%, $F$11)</f>
        <v>42.353200000000001</v>
      </c>
      <c r="J888" s="4">
        <f>CHOOSE( CONTROL!$C$32, 42.2178, 42.2124) * CHOOSE(CONTROL!$C$15, $D$11, 100%, $F$11)</f>
        <v>42.217799999999997</v>
      </c>
      <c r="K888" s="4"/>
      <c r="L888" s="9">
        <v>30.7165</v>
      </c>
      <c r="M888" s="9">
        <v>12.063700000000001</v>
      </c>
      <c r="N888" s="9">
        <v>4.9444999999999997</v>
      </c>
      <c r="O888" s="9">
        <v>0.37409999999999999</v>
      </c>
      <c r="P888" s="9">
        <v>1.2183999999999999</v>
      </c>
      <c r="Q888" s="9">
        <v>19.688099999999999</v>
      </c>
      <c r="R888" s="9"/>
      <c r="S888" s="11"/>
    </row>
    <row r="889" spans="1:19" ht="15.75">
      <c r="A889" s="13">
        <v>68575</v>
      </c>
      <c r="B889" s="8">
        <f>CHOOSE( CONTROL!$C$32, 43.0817, 43.0762) * CHOOSE(CONTROL!$C$15, $D$11, 100%, $F$11)</f>
        <v>43.081699999999998</v>
      </c>
      <c r="C889" s="8">
        <f>CHOOSE( CONTROL!$C$32, 43.0898, 43.0843) * CHOOSE(CONTROL!$C$15, $D$11, 100%, $F$11)</f>
        <v>43.089799999999997</v>
      </c>
      <c r="D889" s="8">
        <f>CHOOSE( CONTROL!$C$32, 43.1162, 43.1106) * CHOOSE( CONTROL!$C$15, $D$11, 100%, $F$11)</f>
        <v>43.116199999999999</v>
      </c>
      <c r="E889" s="12">
        <f>CHOOSE( CONTROL!$C$32, 43.1054, 43.0998) * CHOOSE( CONTROL!$C$15, $D$11, 100%, $F$11)</f>
        <v>43.105400000000003</v>
      </c>
      <c r="F889" s="4">
        <f>CHOOSE( CONTROL!$C$32, 43.7941, 43.7886) * CHOOSE(CONTROL!$C$15, $D$11, 100%, $F$11)</f>
        <v>43.7941</v>
      </c>
      <c r="G889" s="8">
        <f>CHOOSE( CONTROL!$C$32, 42.0644, 42.0589) * CHOOSE( CONTROL!$C$15, $D$11, 100%, $F$11)</f>
        <v>42.064399999999999</v>
      </c>
      <c r="H889" s="4">
        <f>CHOOSE( CONTROL!$C$32, 43.0087, 43.0032) * CHOOSE(CONTROL!$C$15, $D$11, 100%, $F$11)</f>
        <v>43.008699999999997</v>
      </c>
      <c r="I889" s="8">
        <f>CHOOSE( CONTROL!$C$32, 41.4683, 41.463) * CHOOSE(CONTROL!$C$15, $D$11, 100%, $F$11)</f>
        <v>41.468299999999999</v>
      </c>
      <c r="J889" s="4">
        <f>CHOOSE( CONTROL!$C$32, 41.3336, 41.3282) * CHOOSE(CONTROL!$C$15, $D$11, 100%, $F$11)</f>
        <v>41.333599999999997</v>
      </c>
      <c r="K889" s="4"/>
      <c r="L889" s="9">
        <v>29.7257</v>
      </c>
      <c r="M889" s="9">
        <v>11.6745</v>
      </c>
      <c r="N889" s="9">
        <v>4.7850000000000001</v>
      </c>
      <c r="O889" s="9">
        <v>0.36199999999999999</v>
      </c>
      <c r="P889" s="9">
        <v>1.1791</v>
      </c>
      <c r="Q889" s="9">
        <v>19.053000000000001</v>
      </c>
      <c r="R889" s="9"/>
      <c r="S889" s="11"/>
    </row>
    <row r="890" spans="1:19" ht="15.75">
      <c r="A890" s="13">
        <v>68606</v>
      </c>
      <c r="B890" s="8">
        <f>44.9867 * CHOOSE(CONTROL!$C$15, $D$11, 100%, $F$11)</f>
        <v>44.986699999999999</v>
      </c>
      <c r="C890" s="8">
        <f>44.9921 * CHOOSE(CONTROL!$C$15, $D$11, 100%, $F$11)</f>
        <v>44.992100000000001</v>
      </c>
      <c r="D890" s="8">
        <f>45.0233 * CHOOSE( CONTROL!$C$15, $D$11, 100%, $F$11)</f>
        <v>45.023299999999999</v>
      </c>
      <c r="E890" s="12">
        <f>45.0124 * CHOOSE( CONTROL!$C$15, $D$11, 100%, $F$11)</f>
        <v>45.0124</v>
      </c>
      <c r="F890" s="4">
        <f>45.7008 * CHOOSE(CONTROL!$C$15, $D$11, 100%, $F$11)</f>
        <v>45.700800000000001</v>
      </c>
      <c r="G890" s="8">
        <f>43.9258 * CHOOSE( CONTROL!$C$15, $D$11, 100%, $F$11)</f>
        <v>43.925800000000002</v>
      </c>
      <c r="H890" s="4">
        <f>44.8709 * CHOOSE(CONTROL!$C$15, $D$11, 100%, $F$11)</f>
        <v>44.870899999999999</v>
      </c>
      <c r="I890" s="8">
        <f>43.3007 * CHOOSE(CONTROL!$C$15, $D$11, 100%, $F$11)</f>
        <v>43.300699999999999</v>
      </c>
      <c r="J890" s="4">
        <f>43.1642 * CHOOSE(CONTROL!$C$15, $D$11, 100%, $F$11)</f>
        <v>43.164200000000001</v>
      </c>
      <c r="K890" s="4"/>
      <c r="L890" s="9">
        <v>31.095300000000002</v>
      </c>
      <c r="M890" s="9">
        <v>12.063700000000001</v>
      </c>
      <c r="N890" s="9">
        <v>4.9444999999999997</v>
      </c>
      <c r="O890" s="9">
        <v>0.37409999999999999</v>
      </c>
      <c r="P890" s="9">
        <v>1.2183999999999999</v>
      </c>
      <c r="Q890" s="9">
        <v>19.688099999999999</v>
      </c>
      <c r="R890" s="9"/>
      <c r="S890" s="11"/>
    </row>
    <row r="891" spans="1:19" ht="15.75">
      <c r="A891" s="13">
        <v>68636</v>
      </c>
      <c r="B891" s="8">
        <f>48.5159 * CHOOSE(CONTROL!$C$15, $D$11, 100%, $F$11)</f>
        <v>48.515900000000002</v>
      </c>
      <c r="C891" s="8">
        <f>48.5211 * CHOOSE(CONTROL!$C$15, $D$11, 100%, $F$11)</f>
        <v>48.521099999999997</v>
      </c>
      <c r="D891" s="8">
        <f>48.5073 * CHOOSE( CONTROL!$C$15, $D$11, 100%, $F$11)</f>
        <v>48.507300000000001</v>
      </c>
      <c r="E891" s="12">
        <f>48.5118 * CHOOSE( CONTROL!$C$15, $D$11, 100%, $F$11)</f>
        <v>48.511800000000001</v>
      </c>
      <c r="F891" s="4">
        <f>49.1664 * CHOOSE(CONTROL!$C$15, $D$11, 100%, $F$11)</f>
        <v>49.166400000000003</v>
      </c>
      <c r="G891" s="8">
        <f>47.3807 * CHOOSE( CONTROL!$C$15, $D$11, 100%, $F$11)</f>
        <v>47.380699999999997</v>
      </c>
      <c r="H891" s="4">
        <f>48.2557 * CHOOSE(CONTROL!$C$15, $D$11, 100%, $F$11)</f>
        <v>48.255699999999997</v>
      </c>
      <c r="I891" s="8">
        <f>46.7348 * CHOOSE(CONTROL!$C$15, $D$11, 100%, $F$11)</f>
        <v>46.7348</v>
      </c>
      <c r="J891" s="4">
        <f>46.5529 * CHOOSE(CONTROL!$C$15, $D$11, 100%, $F$11)</f>
        <v>46.552900000000001</v>
      </c>
      <c r="K891" s="4"/>
      <c r="L891" s="9">
        <v>28.360600000000002</v>
      </c>
      <c r="M891" s="9">
        <v>11.6745</v>
      </c>
      <c r="N891" s="9">
        <v>4.7850000000000001</v>
      </c>
      <c r="O891" s="9">
        <v>0.36199999999999999</v>
      </c>
      <c r="P891" s="9">
        <v>1.2509999999999999</v>
      </c>
      <c r="Q891" s="9">
        <v>19.053000000000001</v>
      </c>
      <c r="R891" s="9"/>
      <c r="S891" s="11"/>
    </row>
    <row r="892" spans="1:19" ht="15.75">
      <c r="A892" s="13">
        <v>68667</v>
      </c>
      <c r="B892" s="8">
        <f>48.4277 * CHOOSE(CONTROL!$C$15, $D$11, 100%, $F$11)</f>
        <v>48.427700000000002</v>
      </c>
      <c r="C892" s="8">
        <f>48.4329 * CHOOSE(CONTROL!$C$15, $D$11, 100%, $F$11)</f>
        <v>48.432899999999997</v>
      </c>
      <c r="D892" s="8">
        <f>48.4206 * CHOOSE( CONTROL!$C$15, $D$11, 100%, $F$11)</f>
        <v>48.4206</v>
      </c>
      <c r="E892" s="12">
        <f>48.4245 * CHOOSE( CONTROL!$C$15, $D$11, 100%, $F$11)</f>
        <v>48.424500000000002</v>
      </c>
      <c r="F892" s="4">
        <f>49.0782 * CHOOSE(CONTROL!$C$15, $D$11, 100%, $F$11)</f>
        <v>49.078200000000002</v>
      </c>
      <c r="G892" s="8">
        <f>47.2957 * CHOOSE( CONTROL!$C$15, $D$11, 100%, $F$11)</f>
        <v>47.295699999999997</v>
      </c>
      <c r="H892" s="4">
        <f>48.1696 * CHOOSE(CONTROL!$C$15, $D$11, 100%, $F$11)</f>
        <v>48.169600000000003</v>
      </c>
      <c r="I892" s="8">
        <f>46.6548 * CHOOSE(CONTROL!$C$15, $D$11, 100%, $F$11)</f>
        <v>46.654800000000002</v>
      </c>
      <c r="J892" s="4">
        <f>46.4683 * CHOOSE(CONTROL!$C$15, $D$11, 100%, $F$11)</f>
        <v>46.468299999999999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68698</v>
      </c>
      <c r="B893" s="8">
        <f>50.2775 * CHOOSE(CONTROL!$C$15, $D$11, 100%, $F$11)</f>
        <v>50.277500000000003</v>
      </c>
      <c r="C893" s="8">
        <f>50.2827 * CHOOSE(CONTROL!$C$15, $D$11, 100%, $F$11)</f>
        <v>50.282699999999998</v>
      </c>
      <c r="D893" s="8">
        <f>50.2651 * CHOOSE( CONTROL!$C$15, $D$11, 100%, $F$11)</f>
        <v>50.265099999999997</v>
      </c>
      <c r="E893" s="12">
        <f>50.271 * CHOOSE( CONTROL!$C$15, $D$11, 100%, $F$11)</f>
        <v>50.271000000000001</v>
      </c>
      <c r="F893" s="4">
        <f>50.928 * CHOOSE(CONTROL!$C$15, $D$11, 100%, $F$11)</f>
        <v>50.927999999999997</v>
      </c>
      <c r="G893" s="8">
        <f>49.0924 * CHOOSE( CONTROL!$C$15, $D$11, 100%, $F$11)</f>
        <v>49.092399999999998</v>
      </c>
      <c r="H893" s="4">
        <f>49.9763 * CHOOSE(CONTROL!$C$15, $D$11, 100%, $F$11)</f>
        <v>49.976300000000002</v>
      </c>
      <c r="I893" s="8">
        <f>48.3916 * CHOOSE(CONTROL!$C$15, $D$11, 100%, $F$11)</f>
        <v>48.391599999999997</v>
      </c>
      <c r="J893" s="4">
        <f>48.2443 * CHOOSE(CONTROL!$C$15, $D$11, 100%, $F$11)</f>
        <v>48.244300000000003</v>
      </c>
      <c r="K893" s="4"/>
      <c r="L893" s="9">
        <v>29.306000000000001</v>
      </c>
      <c r="M893" s="9">
        <v>12.063700000000001</v>
      </c>
      <c r="N893" s="9">
        <v>4.9444999999999997</v>
      </c>
      <c r="O893" s="9">
        <v>0.37409999999999999</v>
      </c>
      <c r="P893" s="9">
        <v>1.2927</v>
      </c>
      <c r="Q893" s="9">
        <v>19.688099999999999</v>
      </c>
      <c r="R893" s="9"/>
      <c r="S893" s="11"/>
    </row>
    <row r="894" spans="1:19" ht="15.75">
      <c r="A894" s="13">
        <v>68727</v>
      </c>
      <c r="B894" s="8">
        <f>47.029 * CHOOSE(CONTROL!$C$15, $D$11, 100%, $F$11)</f>
        <v>47.029000000000003</v>
      </c>
      <c r="C894" s="8">
        <f>47.0342 * CHOOSE(CONTROL!$C$15, $D$11, 100%, $F$11)</f>
        <v>47.034199999999998</v>
      </c>
      <c r="D894" s="8">
        <f>47.0165 * CHOOSE( CONTROL!$C$15, $D$11, 100%, $F$11)</f>
        <v>47.016500000000001</v>
      </c>
      <c r="E894" s="12">
        <f>47.0224 * CHOOSE( CONTROL!$C$15, $D$11, 100%, $F$11)</f>
        <v>47.022399999999998</v>
      </c>
      <c r="F894" s="4">
        <f>47.6795 * CHOOSE(CONTROL!$C$15, $D$11, 100%, $F$11)</f>
        <v>47.679499999999997</v>
      </c>
      <c r="G894" s="8">
        <f>45.9195 * CHOOSE( CONTROL!$C$15, $D$11, 100%, $F$11)</f>
        <v>45.919499999999999</v>
      </c>
      <c r="H894" s="4">
        <f>46.8035 * CHOOSE(CONTROL!$C$15, $D$11, 100%, $F$11)</f>
        <v>46.8035</v>
      </c>
      <c r="I894" s="8">
        <f>45.2709 * CHOOSE(CONTROL!$C$15, $D$11, 100%, $F$11)</f>
        <v>45.270899999999997</v>
      </c>
      <c r="J894" s="4">
        <f>45.1253 * CHOOSE(CONTROL!$C$15, $D$11, 100%, $F$11)</f>
        <v>45.125300000000003</v>
      </c>
      <c r="K894" s="4"/>
      <c r="L894" s="9">
        <v>27.415299999999998</v>
      </c>
      <c r="M894" s="9">
        <v>11.285299999999999</v>
      </c>
      <c r="N894" s="9">
        <v>4.6254999999999997</v>
      </c>
      <c r="O894" s="9">
        <v>0.34989999999999999</v>
      </c>
      <c r="P894" s="9">
        <v>1.2093</v>
      </c>
      <c r="Q894" s="9">
        <v>18.417899999999999</v>
      </c>
      <c r="R894" s="9"/>
      <c r="S894" s="11"/>
    </row>
    <row r="895" spans="1:19" ht="15.75">
      <c r="A895" s="13">
        <v>68758</v>
      </c>
      <c r="B895" s="8">
        <f>46.0285 * CHOOSE(CONTROL!$C$15, $D$11, 100%, $F$11)</f>
        <v>46.028500000000001</v>
      </c>
      <c r="C895" s="8">
        <f>46.0336 * CHOOSE(CONTROL!$C$15, $D$11, 100%, $F$11)</f>
        <v>46.0336</v>
      </c>
      <c r="D895" s="8">
        <f>46.0156 * CHOOSE( CONTROL!$C$15, $D$11, 100%, $F$11)</f>
        <v>46.015599999999999</v>
      </c>
      <c r="E895" s="12">
        <f>46.0216 * CHOOSE( CONTROL!$C$15, $D$11, 100%, $F$11)</f>
        <v>46.021599999999999</v>
      </c>
      <c r="F895" s="4">
        <f>46.6789 * CHOOSE(CONTROL!$C$15, $D$11, 100%, $F$11)</f>
        <v>46.678899999999999</v>
      </c>
      <c r="G895" s="8">
        <f>44.942 * CHOOSE( CONTROL!$C$15, $D$11, 100%, $F$11)</f>
        <v>44.942</v>
      </c>
      <c r="H895" s="4">
        <f>45.8262 * CHOOSE(CONTROL!$C$15, $D$11, 100%, $F$11)</f>
        <v>45.8262</v>
      </c>
      <c r="I895" s="8">
        <f>44.3087 * CHOOSE(CONTROL!$C$15, $D$11, 100%, $F$11)</f>
        <v>44.308700000000002</v>
      </c>
      <c r="J895" s="4">
        <f>44.1647 * CHOOSE(CONTROL!$C$15, $D$11, 100%, $F$11)</f>
        <v>44.164700000000003</v>
      </c>
      <c r="K895" s="4"/>
      <c r="L895" s="9">
        <v>29.306000000000001</v>
      </c>
      <c r="M895" s="9">
        <v>12.063700000000001</v>
      </c>
      <c r="N895" s="9">
        <v>4.9444999999999997</v>
      </c>
      <c r="O895" s="9">
        <v>0.37409999999999999</v>
      </c>
      <c r="P895" s="9">
        <v>1.2927</v>
      </c>
      <c r="Q895" s="9">
        <v>19.688099999999999</v>
      </c>
      <c r="R895" s="9"/>
      <c r="S895" s="11"/>
    </row>
    <row r="896" spans="1:19" ht="15.75">
      <c r="A896" s="13">
        <v>68788</v>
      </c>
      <c r="B896" s="8">
        <f>46.7284 * CHOOSE(CONTROL!$C$15, $D$11, 100%, $F$11)</f>
        <v>46.728400000000001</v>
      </c>
      <c r="C896" s="8">
        <f>46.733 * CHOOSE(CONTROL!$C$15, $D$11, 100%, $F$11)</f>
        <v>46.732999999999997</v>
      </c>
      <c r="D896" s="8">
        <f>46.7641 * CHOOSE( CONTROL!$C$15, $D$11, 100%, $F$11)</f>
        <v>46.764099999999999</v>
      </c>
      <c r="E896" s="12">
        <f>46.7533 * CHOOSE( CONTROL!$C$15, $D$11, 100%, $F$11)</f>
        <v>46.753300000000003</v>
      </c>
      <c r="F896" s="4">
        <f>47.4421 * CHOOSE(CONTROL!$C$15, $D$11, 100%, $F$11)</f>
        <v>47.442100000000003</v>
      </c>
      <c r="G896" s="8">
        <f>45.6257 * CHOOSE( CONTROL!$C$15, $D$11, 100%, $F$11)</f>
        <v>45.625700000000002</v>
      </c>
      <c r="H896" s="4">
        <f>46.5717 * CHOOSE(CONTROL!$C$15, $D$11, 100%, $F$11)</f>
        <v>46.5717</v>
      </c>
      <c r="I896" s="8">
        <f>44.9707 * CHOOSE(CONTROL!$C$15, $D$11, 100%, $F$11)</f>
        <v>44.970700000000001</v>
      </c>
      <c r="J896" s="4">
        <f>44.836 * CHOOSE(CONTROL!$C$15, $D$11, 100%, $F$11)</f>
        <v>44.835999999999999</v>
      </c>
      <c r="K896" s="4"/>
      <c r="L896" s="9">
        <v>30.092199999999998</v>
      </c>
      <c r="M896" s="9">
        <v>11.6745</v>
      </c>
      <c r="N896" s="9">
        <v>4.7850000000000001</v>
      </c>
      <c r="O896" s="9">
        <v>0.36199999999999999</v>
      </c>
      <c r="P896" s="9">
        <v>1.1791</v>
      </c>
      <c r="Q896" s="9">
        <v>19.053000000000001</v>
      </c>
      <c r="R896" s="9"/>
      <c r="S896" s="11"/>
    </row>
    <row r="897" spans="1:19" ht="15.75">
      <c r="A897" s="13">
        <v>68819</v>
      </c>
      <c r="B897" s="8">
        <f>CHOOSE( CONTROL!$C$32, 47.9796, 47.9741) * CHOOSE(CONTROL!$C$15, $D$11, 100%, $F$11)</f>
        <v>47.979599999999998</v>
      </c>
      <c r="C897" s="8">
        <f>CHOOSE( CONTROL!$C$32, 47.9877, 47.9821) * CHOOSE(CONTROL!$C$15, $D$11, 100%, $F$11)</f>
        <v>47.987699999999997</v>
      </c>
      <c r="D897" s="8">
        <f>CHOOSE( CONTROL!$C$32, 48.0137, 48.0081) * CHOOSE( CONTROL!$C$15, $D$11, 100%, $F$11)</f>
        <v>48.0137</v>
      </c>
      <c r="E897" s="12">
        <f>CHOOSE( CONTROL!$C$32, 48.003, 47.9975) * CHOOSE( CONTROL!$C$15, $D$11, 100%, $F$11)</f>
        <v>48.003</v>
      </c>
      <c r="F897" s="4">
        <f>CHOOSE( CONTROL!$C$32, 48.692, 48.6865) * CHOOSE(CONTROL!$C$15, $D$11, 100%, $F$11)</f>
        <v>48.692</v>
      </c>
      <c r="G897" s="8">
        <f>CHOOSE( CONTROL!$C$32, 46.8476, 46.8422) * CHOOSE( CONTROL!$C$15, $D$11, 100%, $F$11)</f>
        <v>46.8476</v>
      </c>
      <c r="H897" s="4">
        <f>CHOOSE( CONTROL!$C$32, 47.7925, 47.787) * CHOOSE(CONTROL!$C$15, $D$11, 100%, $F$11)</f>
        <v>47.792499999999997</v>
      </c>
      <c r="I897" s="8">
        <f>CHOOSE( CONTROL!$C$32, 46.1713, 46.166) * CHOOSE(CONTROL!$C$15, $D$11, 100%, $F$11)</f>
        <v>46.171300000000002</v>
      </c>
      <c r="J897" s="4">
        <f>CHOOSE( CONTROL!$C$32, 46.036, 46.0307) * CHOOSE(CONTROL!$C$15, $D$11, 100%, $F$11)</f>
        <v>46.036000000000001</v>
      </c>
      <c r="K897" s="4"/>
      <c r="L897" s="9">
        <v>30.7165</v>
      </c>
      <c r="M897" s="9">
        <v>12.063700000000001</v>
      </c>
      <c r="N897" s="9">
        <v>4.9444999999999997</v>
      </c>
      <c r="O897" s="9">
        <v>0.37409999999999999</v>
      </c>
      <c r="P897" s="9">
        <v>1.2183999999999999</v>
      </c>
      <c r="Q897" s="9">
        <v>19.688099999999999</v>
      </c>
      <c r="R897" s="9"/>
      <c r="S897" s="11"/>
    </row>
    <row r="898" spans="1:19" ht="15.75">
      <c r="A898" s="13">
        <v>68849</v>
      </c>
      <c r="B898" s="8">
        <f>CHOOSE( CONTROL!$C$32, 47.2088, 47.2032) * CHOOSE(CONTROL!$C$15, $D$11, 100%, $F$11)</f>
        <v>47.208799999999997</v>
      </c>
      <c r="C898" s="8">
        <f>CHOOSE( CONTROL!$C$32, 47.2169, 47.2113) * CHOOSE(CONTROL!$C$15, $D$11, 100%, $F$11)</f>
        <v>47.216900000000003</v>
      </c>
      <c r="D898" s="8">
        <f>CHOOSE( CONTROL!$C$32, 47.243, 47.2375) * CHOOSE( CONTROL!$C$15, $D$11, 100%, $F$11)</f>
        <v>47.243000000000002</v>
      </c>
      <c r="E898" s="12">
        <f>CHOOSE( CONTROL!$C$32, 47.2323, 47.2268) * CHOOSE( CONTROL!$C$15, $D$11, 100%, $F$11)</f>
        <v>47.232300000000002</v>
      </c>
      <c r="F898" s="4">
        <f>CHOOSE( CONTROL!$C$32, 47.9212, 47.9156) * CHOOSE(CONTROL!$C$15, $D$11, 100%, $F$11)</f>
        <v>47.921199999999999</v>
      </c>
      <c r="G898" s="8">
        <f>CHOOSE( CONTROL!$C$32, 46.095, 46.0895) * CHOOSE( CONTROL!$C$15, $D$11, 100%, $F$11)</f>
        <v>46.094999999999999</v>
      </c>
      <c r="H898" s="4">
        <f>CHOOSE( CONTROL!$C$32, 47.0396, 47.0342) * CHOOSE(CONTROL!$C$15, $D$11, 100%, $F$11)</f>
        <v>47.0396</v>
      </c>
      <c r="I898" s="8">
        <f>CHOOSE( CONTROL!$C$32, 45.4317, 45.4263) * CHOOSE(CONTROL!$C$15, $D$11, 100%, $F$11)</f>
        <v>45.431699999999999</v>
      </c>
      <c r="J898" s="4">
        <f>CHOOSE( CONTROL!$C$32, 45.296, 45.2906) * CHOOSE(CONTROL!$C$15, $D$11, 100%, $F$11)</f>
        <v>45.295999999999999</v>
      </c>
      <c r="K898" s="4"/>
      <c r="L898" s="9">
        <v>29.7257</v>
      </c>
      <c r="M898" s="9">
        <v>11.6745</v>
      </c>
      <c r="N898" s="9">
        <v>4.7850000000000001</v>
      </c>
      <c r="O898" s="9">
        <v>0.36199999999999999</v>
      </c>
      <c r="P898" s="9">
        <v>1.1791</v>
      </c>
      <c r="Q898" s="9">
        <v>19.053000000000001</v>
      </c>
      <c r="R898" s="9"/>
      <c r="S898" s="11"/>
    </row>
    <row r="899" spans="1:19" ht="15.75">
      <c r="A899" s="13">
        <v>68880</v>
      </c>
      <c r="B899" s="8">
        <f>CHOOSE( CONTROL!$C$32, 49.2387, 49.2331) * CHOOSE(CONTROL!$C$15, $D$11, 100%, $F$11)</f>
        <v>49.238700000000001</v>
      </c>
      <c r="C899" s="8">
        <f>CHOOSE( CONTROL!$C$32, 49.2468, 49.2412) * CHOOSE(CONTROL!$C$15, $D$11, 100%, $F$11)</f>
        <v>49.2468</v>
      </c>
      <c r="D899" s="8">
        <f>CHOOSE( CONTROL!$C$32, 49.2731, 49.2675) * CHOOSE( CONTROL!$C$15, $D$11, 100%, $F$11)</f>
        <v>49.273099999999999</v>
      </c>
      <c r="E899" s="12">
        <f>CHOOSE( CONTROL!$C$32, 49.2623, 49.2567) * CHOOSE( CONTROL!$C$15, $D$11, 100%, $F$11)</f>
        <v>49.262300000000003</v>
      </c>
      <c r="F899" s="4">
        <f>CHOOSE( CONTROL!$C$32, 49.9511, 49.9455) * CHOOSE(CONTROL!$C$15, $D$11, 100%, $F$11)</f>
        <v>49.951099999999997</v>
      </c>
      <c r="G899" s="8">
        <f>CHOOSE( CONTROL!$C$32, 48.0778, 48.0724) * CHOOSE( CONTROL!$C$15, $D$11, 100%, $F$11)</f>
        <v>48.077800000000003</v>
      </c>
      <c r="H899" s="4">
        <f>CHOOSE( CONTROL!$C$32, 49.0222, 49.0167) * CHOOSE(CONTROL!$C$15, $D$11, 100%, $F$11)</f>
        <v>49.022199999999998</v>
      </c>
      <c r="I899" s="8">
        <f>CHOOSE( CONTROL!$C$32, 47.3825, 47.3771) * CHOOSE(CONTROL!$C$15, $D$11, 100%, $F$11)</f>
        <v>47.3825</v>
      </c>
      <c r="J899" s="4">
        <f>CHOOSE( CONTROL!$C$32, 47.2448, 47.2395) * CHOOSE(CONTROL!$C$15, $D$11, 100%, $F$11)</f>
        <v>47.244799999999998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1.2183999999999999</v>
      </c>
      <c r="Q899" s="9">
        <v>19.688099999999999</v>
      </c>
      <c r="R899" s="9"/>
      <c r="S899" s="11"/>
    </row>
    <row r="900" spans="1:19" ht="15.75">
      <c r="A900" s="13">
        <v>68911</v>
      </c>
      <c r="B900" s="8">
        <f>CHOOSE( CONTROL!$C$32, 45.4406, 45.435) * CHOOSE(CONTROL!$C$15, $D$11, 100%, $F$11)</f>
        <v>45.440600000000003</v>
      </c>
      <c r="C900" s="8">
        <f>CHOOSE( CONTROL!$C$32, 45.4487, 45.4431) * CHOOSE(CONTROL!$C$15, $D$11, 100%, $F$11)</f>
        <v>45.448700000000002</v>
      </c>
      <c r="D900" s="8">
        <f>CHOOSE( CONTROL!$C$32, 45.4751, 45.4695) * CHOOSE( CONTROL!$C$15, $D$11, 100%, $F$11)</f>
        <v>45.475099999999998</v>
      </c>
      <c r="E900" s="12">
        <f>CHOOSE( CONTROL!$C$32, 45.4643, 45.4587) * CHOOSE( CONTROL!$C$15, $D$11, 100%, $F$11)</f>
        <v>45.464300000000001</v>
      </c>
      <c r="F900" s="4">
        <f>CHOOSE( CONTROL!$C$32, 46.153, 46.1474) * CHOOSE(CONTROL!$C$15, $D$11, 100%, $F$11)</f>
        <v>46.152999999999999</v>
      </c>
      <c r="G900" s="8">
        <f>CHOOSE( CONTROL!$C$32, 44.3683, 44.3629) * CHOOSE( CONTROL!$C$15, $D$11, 100%, $F$11)</f>
        <v>44.368299999999998</v>
      </c>
      <c r="H900" s="4">
        <f>CHOOSE( CONTROL!$C$32, 45.3126, 45.3071) * CHOOSE(CONTROL!$C$15, $D$11, 100%, $F$11)</f>
        <v>45.312600000000003</v>
      </c>
      <c r="I900" s="8">
        <f>CHOOSE( CONTROL!$C$32, 43.7344, 43.7291) * CHOOSE(CONTROL!$C$15, $D$11, 100%, $F$11)</f>
        <v>43.734400000000001</v>
      </c>
      <c r="J900" s="4">
        <f>CHOOSE( CONTROL!$C$32, 43.5983, 43.5929) * CHOOSE(CONTROL!$C$15, $D$11, 100%, $F$11)</f>
        <v>43.598300000000002</v>
      </c>
      <c r="K900" s="4"/>
      <c r="L900" s="9">
        <v>30.7165</v>
      </c>
      <c r="M900" s="9">
        <v>12.063700000000001</v>
      </c>
      <c r="N900" s="9">
        <v>4.9444999999999997</v>
      </c>
      <c r="O900" s="9">
        <v>0.37409999999999999</v>
      </c>
      <c r="P900" s="9">
        <v>1.2183999999999999</v>
      </c>
      <c r="Q900" s="9">
        <v>19.688099999999999</v>
      </c>
      <c r="R900" s="9"/>
      <c r="S900" s="11"/>
    </row>
    <row r="901" spans="1:19" ht="15.75">
      <c r="A901" s="13">
        <v>68941</v>
      </c>
      <c r="B901" s="8">
        <f>CHOOSE( CONTROL!$C$32, 44.4895, 44.4839) * CHOOSE(CONTROL!$C$15, $D$11, 100%, $F$11)</f>
        <v>44.4895</v>
      </c>
      <c r="C901" s="8">
        <f>CHOOSE( CONTROL!$C$32, 44.4976, 44.492) * CHOOSE(CONTROL!$C$15, $D$11, 100%, $F$11)</f>
        <v>44.497599999999998</v>
      </c>
      <c r="D901" s="8">
        <f>CHOOSE( CONTROL!$C$32, 44.5239, 44.5184) * CHOOSE( CONTROL!$C$15, $D$11, 100%, $F$11)</f>
        <v>44.523899999999998</v>
      </c>
      <c r="E901" s="12">
        <f>CHOOSE( CONTROL!$C$32, 44.5131, 44.5076) * CHOOSE( CONTROL!$C$15, $D$11, 100%, $F$11)</f>
        <v>44.513100000000001</v>
      </c>
      <c r="F901" s="4">
        <f>CHOOSE( CONTROL!$C$32, 45.2019, 45.1963) * CHOOSE(CONTROL!$C$15, $D$11, 100%, $F$11)</f>
        <v>45.201900000000002</v>
      </c>
      <c r="G901" s="8">
        <f>CHOOSE( CONTROL!$C$32, 43.4393, 43.4339) * CHOOSE( CONTROL!$C$15, $D$11, 100%, $F$11)</f>
        <v>43.439300000000003</v>
      </c>
      <c r="H901" s="4">
        <f>CHOOSE( CONTROL!$C$32, 44.3836, 44.3782) * CHOOSE(CONTROL!$C$15, $D$11, 100%, $F$11)</f>
        <v>44.383600000000001</v>
      </c>
      <c r="I901" s="8">
        <f>CHOOSE( CONTROL!$C$32, 42.8206, 42.8152) * CHOOSE(CONTROL!$C$15, $D$11, 100%, $F$11)</f>
        <v>42.820599999999999</v>
      </c>
      <c r="J901" s="4">
        <f>CHOOSE( CONTROL!$C$32, 42.6851, 42.6798) * CHOOSE(CONTROL!$C$15, $D$11, 100%, $F$11)</f>
        <v>42.685099999999998</v>
      </c>
      <c r="K901" s="4"/>
      <c r="L901" s="9">
        <v>29.7257</v>
      </c>
      <c r="M901" s="9">
        <v>11.6745</v>
      </c>
      <c r="N901" s="9">
        <v>4.7850000000000001</v>
      </c>
      <c r="O901" s="9">
        <v>0.36199999999999999</v>
      </c>
      <c r="P901" s="9">
        <v>1.1791</v>
      </c>
      <c r="Q901" s="9">
        <v>19.053000000000001</v>
      </c>
      <c r="R901" s="9"/>
      <c r="S901" s="11"/>
    </row>
    <row r="902" spans="1:19" ht="15.75">
      <c r="A902" s="13">
        <v>68972</v>
      </c>
      <c r="B902" s="8">
        <f>46.457 * CHOOSE(CONTROL!$C$15, $D$11, 100%, $F$11)</f>
        <v>46.457000000000001</v>
      </c>
      <c r="C902" s="8">
        <f>46.4624 * CHOOSE(CONTROL!$C$15, $D$11, 100%, $F$11)</f>
        <v>46.462400000000002</v>
      </c>
      <c r="D902" s="8">
        <f>46.4936 * CHOOSE( CONTROL!$C$15, $D$11, 100%, $F$11)</f>
        <v>46.493600000000001</v>
      </c>
      <c r="E902" s="12">
        <f>46.4827 * CHOOSE( CONTROL!$C$15, $D$11, 100%, $F$11)</f>
        <v>46.482700000000001</v>
      </c>
      <c r="F902" s="4">
        <f>47.1711 * CHOOSE(CONTROL!$C$15, $D$11, 100%, $F$11)</f>
        <v>47.171100000000003</v>
      </c>
      <c r="G902" s="8">
        <f>45.3618 * CHOOSE( CONTROL!$C$15, $D$11, 100%, $F$11)</f>
        <v>45.361800000000002</v>
      </c>
      <c r="H902" s="4">
        <f>46.307 * CHOOSE(CONTROL!$C$15, $D$11, 100%, $F$11)</f>
        <v>46.307000000000002</v>
      </c>
      <c r="I902" s="8">
        <f>44.713 * CHOOSE(CONTROL!$C$15, $D$11, 100%, $F$11)</f>
        <v>44.713000000000001</v>
      </c>
      <c r="J902" s="4">
        <f>44.5758 * CHOOSE(CONTROL!$C$15, $D$11, 100%, $F$11)</f>
        <v>44.575800000000001</v>
      </c>
      <c r="K902" s="4"/>
      <c r="L902" s="9">
        <v>31.095300000000002</v>
      </c>
      <c r="M902" s="9">
        <v>12.063700000000001</v>
      </c>
      <c r="N902" s="9">
        <v>4.9444999999999997</v>
      </c>
      <c r="O902" s="9">
        <v>0.37409999999999999</v>
      </c>
      <c r="P902" s="9">
        <v>1.2183999999999999</v>
      </c>
      <c r="Q902" s="9">
        <v>19.688099999999999</v>
      </c>
      <c r="R902" s="9"/>
      <c r="S902" s="11"/>
    </row>
    <row r="903" spans="1:19" ht="15.75">
      <c r="A903" s="13">
        <v>69002</v>
      </c>
      <c r="B903" s="8">
        <f>50.1016 * CHOOSE(CONTROL!$C$15, $D$11, 100%, $F$11)</f>
        <v>50.101599999999998</v>
      </c>
      <c r="C903" s="8">
        <f>50.1068 * CHOOSE(CONTROL!$C$15, $D$11, 100%, $F$11)</f>
        <v>50.1068</v>
      </c>
      <c r="D903" s="8">
        <f>50.093 * CHOOSE( CONTROL!$C$15, $D$11, 100%, $F$11)</f>
        <v>50.093000000000004</v>
      </c>
      <c r="E903" s="12">
        <f>50.0975 * CHOOSE( CONTROL!$C$15, $D$11, 100%, $F$11)</f>
        <v>50.097499999999997</v>
      </c>
      <c r="F903" s="4">
        <f>50.7521 * CHOOSE(CONTROL!$C$15, $D$11, 100%, $F$11)</f>
        <v>50.752099999999999</v>
      </c>
      <c r="G903" s="8">
        <f>48.9295 * CHOOSE( CONTROL!$C$15, $D$11, 100%, $F$11)</f>
        <v>48.929499999999997</v>
      </c>
      <c r="H903" s="4">
        <f>49.8045 * CHOOSE(CONTROL!$C$15, $D$11, 100%, $F$11)</f>
        <v>49.804499999999997</v>
      </c>
      <c r="I903" s="8">
        <f>48.258 * CHOOSE(CONTROL!$C$15, $D$11, 100%, $F$11)</f>
        <v>48.258000000000003</v>
      </c>
      <c r="J903" s="4">
        <f>48.0754 * CHOOSE(CONTROL!$C$15, $D$11, 100%, $F$11)</f>
        <v>48.075400000000002</v>
      </c>
      <c r="K903" s="4"/>
      <c r="L903" s="9">
        <v>28.360600000000002</v>
      </c>
      <c r="M903" s="9">
        <v>11.6745</v>
      </c>
      <c r="N903" s="9">
        <v>4.7850000000000001</v>
      </c>
      <c r="O903" s="9">
        <v>0.36199999999999999</v>
      </c>
      <c r="P903" s="9">
        <v>1.2509999999999999</v>
      </c>
      <c r="Q903" s="9">
        <v>19.053000000000001</v>
      </c>
      <c r="R903" s="9"/>
      <c r="S903" s="11"/>
    </row>
    <row r="904" spans="1:19" ht="15.75">
      <c r="A904" s="13">
        <v>69033</v>
      </c>
      <c r="B904" s="8">
        <f>50.0106 * CHOOSE(CONTROL!$C$15, $D$11, 100%, $F$11)</f>
        <v>50.010599999999997</v>
      </c>
      <c r="C904" s="8">
        <f>50.0157 * CHOOSE(CONTROL!$C$15, $D$11, 100%, $F$11)</f>
        <v>50.015700000000002</v>
      </c>
      <c r="D904" s="8">
        <f>50.0035 * CHOOSE( CONTROL!$C$15, $D$11, 100%, $F$11)</f>
        <v>50.003500000000003</v>
      </c>
      <c r="E904" s="12">
        <f>50.0074 * CHOOSE( CONTROL!$C$15, $D$11, 100%, $F$11)</f>
        <v>50.007399999999997</v>
      </c>
      <c r="F904" s="4">
        <f>50.661 * CHOOSE(CONTROL!$C$15, $D$11, 100%, $F$11)</f>
        <v>50.661000000000001</v>
      </c>
      <c r="G904" s="8">
        <f>48.8417 * CHOOSE( CONTROL!$C$15, $D$11, 100%, $F$11)</f>
        <v>48.841700000000003</v>
      </c>
      <c r="H904" s="4">
        <f>49.7156 * CHOOSE(CONTROL!$C$15, $D$11, 100%, $F$11)</f>
        <v>49.715600000000002</v>
      </c>
      <c r="I904" s="8">
        <f>48.1753 * CHOOSE(CONTROL!$C$15, $D$11, 100%, $F$11)</f>
        <v>48.1753</v>
      </c>
      <c r="J904" s="4">
        <f>47.988 * CHOOSE(CONTROL!$C$15, $D$11, 100%, $F$11)</f>
        <v>47.988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69064</v>
      </c>
      <c r="B905" s="8">
        <f>51.9208 * CHOOSE(CONTROL!$C$15, $D$11, 100%, $F$11)</f>
        <v>51.9208</v>
      </c>
      <c r="C905" s="8">
        <f>51.926 * CHOOSE(CONTROL!$C$15, $D$11, 100%, $F$11)</f>
        <v>51.926000000000002</v>
      </c>
      <c r="D905" s="8">
        <f>51.9085 * CHOOSE( CONTROL!$C$15, $D$11, 100%, $F$11)</f>
        <v>51.908499999999997</v>
      </c>
      <c r="E905" s="12">
        <f>51.9143 * CHOOSE( CONTROL!$C$15, $D$11, 100%, $F$11)</f>
        <v>51.914299999999997</v>
      </c>
      <c r="F905" s="4">
        <f>52.5713 * CHOOSE(CONTROL!$C$15, $D$11, 100%, $F$11)</f>
        <v>52.571300000000001</v>
      </c>
      <c r="G905" s="8">
        <f>50.6974 * CHOOSE( CONTROL!$C$15, $D$11, 100%, $F$11)</f>
        <v>50.697400000000002</v>
      </c>
      <c r="H905" s="4">
        <f>51.5814 * CHOOSE(CONTROL!$C$15, $D$11, 100%, $F$11)</f>
        <v>51.581400000000002</v>
      </c>
      <c r="I905" s="8">
        <f>49.9701 * CHOOSE(CONTROL!$C$15, $D$11, 100%, $F$11)</f>
        <v>49.970100000000002</v>
      </c>
      <c r="J905" s="4">
        <f>49.822 * CHOOSE(CONTROL!$C$15, $D$11, 100%, $F$11)</f>
        <v>49.822000000000003</v>
      </c>
      <c r="K905" s="4"/>
      <c r="L905" s="9">
        <v>29.306000000000001</v>
      </c>
      <c r="M905" s="9">
        <v>12.063700000000001</v>
      </c>
      <c r="N905" s="9">
        <v>4.9444999999999997</v>
      </c>
      <c r="O905" s="9">
        <v>0.37409999999999999</v>
      </c>
      <c r="P905" s="9">
        <v>1.2927</v>
      </c>
      <c r="Q905" s="9">
        <v>19.688099999999999</v>
      </c>
      <c r="R905" s="9"/>
      <c r="S905" s="11"/>
    </row>
    <row r="906" spans="1:19" ht="15.75">
      <c r="A906" s="13">
        <v>69092</v>
      </c>
      <c r="B906" s="8">
        <f>48.5661 * CHOOSE(CONTROL!$C$15, $D$11, 100%, $F$11)</f>
        <v>48.566099999999999</v>
      </c>
      <c r="C906" s="8">
        <f>48.5713 * CHOOSE(CONTROL!$C$15, $D$11, 100%, $F$11)</f>
        <v>48.571300000000001</v>
      </c>
      <c r="D906" s="8">
        <f>48.5536 * CHOOSE( CONTROL!$C$15, $D$11, 100%, $F$11)</f>
        <v>48.553600000000003</v>
      </c>
      <c r="E906" s="12">
        <f>48.5595 * CHOOSE( CONTROL!$C$15, $D$11, 100%, $F$11)</f>
        <v>48.5595</v>
      </c>
      <c r="F906" s="4">
        <f>49.2165 * CHOOSE(CONTROL!$C$15, $D$11, 100%, $F$11)</f>
        <v>49.216500000000003</v>
      </c>
      <c r="G906" s="8">
        <f>47.4208 * CHOOSE( CONTROL!$C$15, $D$11, 100%, $F$11)</f>
        <v>47.4208</v>
      </c>
      <c r="H906" s="4">
        <f>48.3048 * CHOOSE(CONTROL!$C$15, $D$11, 100%, $F$11)</f>
        <v>48.3048</v>
      </c>
      <c r="I906" s="8">
        <f>46.7474 * CHOOSE(CONTROL!$C$15, $D$11, 100%, $F$11)</f>
        <v>46.747399999999999</v>
      </c>
      <c r="J906" s="4">
        <f>46.6011 * CHOOSE(CONTROL!$C$15, $D$11, 100%, $F$11)</f>
        <v>46.601100000000002</v>
      </c>
      <c r="K906" s="4"/>
      <c r="L906" s="9">
        <v>26.469899999999999</v>
      </c>
      <c r="M906" s="9">
        <v>10.8962</v>
      </c>
      <c r="N906" s="9">
        <v>4.4660000000000002</v>
      </c>
      <c r="O906" s="9">
        <v>0.33789999999999998</v>
      </c>
      <c r="P906" s="9">
        <v>1.1676</v>
      </c>
      <c r="Q906" s="9">
        <v>17.782800000000002</v>
      </c>
      <c r="R906" s="9"/>
      <c r="S906" s="11"/>
    </row>
    <row r="907" spans="1:19" ht="15.75">
      <c r="A907" s="13">
        <v>69123</v>
      </c>
      <c r="B907" s="8">
        <f>47.5328 * CHOOSE(CONTROL!$C$15, $D$11, 100%, $F$11)</f>
        <v>47.532800000000002</v>
      </c>
      <c r="C907" s="8">
        <f>47.538 * CHOOSE(CONTROL!$C$15, $D$11, 100%, $F$11)</f>
        <v>47.537999999999997</v>
      </c>
      <c r="D907" s="8">
        <f>47.52 * CHOOSE( CONTROL!$C$15, $D$11, 100%, $F$11)</f>
        <v>47.52</v>
      </c>
      <c r="E907" s="12">
        <f>47.526 * CHOOSE( CONTROL!$C$15, $D$11, 100%, $F$11)</f>
        <v>47.526000000000003</v>
      </c>
      <c r="F907" s="4">
        <f>48.1833 * CHOOSE(CONTROL!$C$15, $D$11, 100%, $F$11)</f>
        <v>48.183300000000003</v>
      </c>
      <c r="G907" s="8">
        <f>46.4113 * CHOOSE( CONTROL!$C$15, $D$11, 100%, $F$11)</f>
        <v>46.411299999999997</v>
      </c>
      <c r="H907" s="4">
        <f>47.2956 * CHOOSE(CONTROL!$C$15, $D$11, 100%, $F$11)</f>
        <v>47.2956</v>
      </c>
      <c r="I907" s="8">
        <f>45.7537 * CHOOSE(CONTROL!$C$15, $D$11, 100%, $F$11)</f>
        <v>45.753700000000002</v>
      </c>
      <c r="J907" s="4">
        <f>45.6091 * CHOOSE(CONTROL!$C$15, $D$11, 100%, $F$11)</f>
        <v>45.609099999999998</v>
      </c>
      <c r="K907" s="4"/>
      <c r="L907" s="9">
        <v>29.306000000000001</v>
      </c>
      <c r="M907" s="9">
        <v>12.063700000000001</v>
      </c>
      <c r="N907" s="9">
        <v>4.9444999999999997</v>
      </c>
      <c r="O907" s="9">
        <v>0.37409999999999999</v>
      </c>
      <c r="P907" s="9">
        <v>1.2927</v>
      </c>
      <c r="Q907" s="9">
        <v>19.688099999999999</v>
      </c>
      <c r="R907" s="9"/>
      <c r="S907" s="11"/>
    </row>
    <row r="908" spans="1:19" ht="15.75">
      <c r="A908" s="13">
        <v>69153</v>
      </c>
      <c r="B908" s="8">
        <f>48.2556 * CHOOSE(CONTROL!$C$15, $D$11, 100%, $F$11)</f>
        <v>48.255600000000001</v>
      </c>
      <c r="C908" s="8">
        <f>48.2602 * CHOOSE(CONTROL!$C$15, $D$11, 100%, $F$11)</f>
        <v>48.260199999999998</v>
      </c>
      <c r="D908" s="8">
        <f>48.2913 * CHOOSE( CONTROL!$C$15, $D$11, 100%, $F$11)</f>
        <v>48.2913</v>
      </c>
      <c r="E908" s="12">
        <f>48.2805 * CHOOSE( CONTROL!$C$15, $D$11, 100%, $F$11)</f>
        <v>48.280500000000004</v>
      </c>
      <c r="F908" s="4">
        <f>48.9694 * CHOOSE(CONTROL!$C$15, $D$11, 100%, $F$11)</f>
        <v>48.9694</v>
      </c>
      <c r="G908" s="8">
        <f>47.1174 * CHOOSE( CONTROL!$C$15, $D$11, 100%, $F$11)</f>
        <v>47.117400000000004</v>
      </c>
      <c r="H908" s="4">
        <f>48.0633 * CHOOSE(CONTROL!$C$15, $D$11, 100%, $F$11)</f>
        <v>48.063299999999998</v>
      </c>
      <c r="I908" s="8">
        <f>46.4378 * CHOOSE(CONTROL!$C$15, $D$11, 100%, $F$11)</f>
        <v>46.437800000000003</v>
      </c>
      <c r="J908" s="4">
        <f>46.3023 * CHOOSE(CONTROL!$C$15, $D$11, 100%, $F$11)</f>
        <v>46.302300000000002</v>
      </c>
      <c r="K908" s="4"/>
      <c r="L908" s="9">
        <v>30.092199999999998</v>
      </c>
      <c r="M908" s="9">
        <v>11.6745</v>
      </c>
      <c r="N908" s="9">
        <v>4.7850000000000001</v>
      </c>
      <c r="O908" s="9">
        <v>0.36199999999999999</v>
      </c>
      <c r="P908" s="9">
        <v>1.1791</v>
      </c>
      <c r="Q908" s="9">
        <v>19.053000000000001</v>
      </c>
      <c r="R908" s="9"/>
      <c r="S908" s="11"/>
    </row>
    <row r="909" spans="1:19" ht="15.75">
      <c r="A909" s="13">
        <v>69184</v>
      </c>
      <c r="B909" s="8">
        <f>CHOOSE( CONTROL!$C$32, 49.5476, 49.542) * CHOOSE(CONTROL!$C$15, $D$11, 100%, $F$11)</f>
        <v>49.547600000000003</v>
      </c>
      <c r="C909" s="8">
        <f>CHOOSE( CONTROL!$C$32, 49.5557, 49.5501) * CHOOSE(CONTROL!$C$15, $D$11, 100%, $F$11)</f>
        <v>49.555700000000002</v>
      </c>
      <c r="D909" s="8">
        <f>CHOOSE( CONTROL!$C$32, 49.5816, 49.5761) * CHOOSE( CONTROL!$C$15, $D$11, 100%, $F$11)</f>
        <v>49.581600000000002</v>
      </c>
      <c r="E909" s="12">
        <f>CHOOSE( CONTROL!$C$32, 49.571, 49.5654) * CHOOSE( CONTROL!$C$15, $D$11, 100%, $F$11)</f>
        <v>49.570999999999998</v>
      </c>
      <c r="F909" s="4">
        <f>CHOOSE( CONTROL!$C$32, 50.26, 50.2544) * CHOOSE(CONTROL!$C$15, $D$11, 100%, $F$11)</f>
        <v>50.26</v>
      </c>
      <c r="G909" s="8">
        <f>CHOOSE( CONTROL!$C$32, 48.379, 48.3736) * CHOOSE( CONTROL!$C$15, $D$11, 100%, $F$11)</f>
        <v>48.378999999999998</v>
      </c>
      <c r="H909" s="4">
        <f>CHOOSE( CONTROL!$C$32, 49.3239, 49.3184) * CHOOSE(CONTROL!$C$15, $D$11, 100%, $F$11)</f>
        <v>49.323900000000002</v>
      </c>
      <c r="I909" s="8">
        <f>CHOOSE( CONTROL!$C$32, 47.6774, 47.6721) * CHOOSE(CONTROL!$C$15, $D$11, 100%, $F$11)</f>
        <v>47.677399999999999</v>
      </c>
      <c r="J909" s="4">
        <f>CHOOSE( CONTROL!$C$32, 47.5414, 47.536) * CHOOSE(CONTROL!$C$15, $D$11, 100%, $F$11)</f>
        <v>47.541400000000003</v>
      </c>
      <c r="K909" s="4"/>
      <c r="L909" s="9">
        <v>30.7165</v>
      </c>
      <c r="M909" s="9">
        <v>12.063700000000001</v>
      </c>
      <c r="N909" s="9">
        <v>4.9444999999999997</v>
      </c>
      <c r="O909" s="9">
        <v>0.37409999999999999</v>
      </c>
      <c r="P909" s="9">
        <v>1.2183999999999999</v>
      </c>
      <c r="Q909" s="9">
        <v>19.688099999999999</v>
      </c>
      <c r="R909" s="9"/>
      <c r="S909" s="11"/>
    </row>
    <row r="910" spans="1:19" ht="15.75">
      <c r="A910" s="13">
        <v>69214</v>
      </c>
      <c r="B910" s="8">
        <f>CHOOSE( CONTROL!$C$32, 48.7515, 48.746) * CHOOSE(CONTROL!$C$15, $D$11, 100%, $F$11)</f>
        <v>48.7515</v>
      </c>
      <c r="C910" s="8">
        <f>CHOOSE( CONTROL!$C$32, 48.7596, 48.7541) * CHOOSE(CONTROL!$C$15, $D$11, 100%, $F$11)</f>
        <v>48.759599999999999</v>
      </c>
      <c r="D910" s="8">
        <f>CHOOSE( CONTROL!$C$32, 48.7858, 48.7802) * CHOOSE( CONTROL!$C$15, $D$11, 100%, $F$11)</f>
        <v>48.785800000000002</v>
      </c>
      <c r="E910" s="12">
        <f>CHOOSE( CONTROL!$C$32, 48.7751, 48.7695) * CHOOSE( CONTROL!$C$15, $D$11, 100%, $F$11)</f>
        <v>48.775100000000002</v>
      </c>
      <c r="F910" s="4">
        <f>CHOOSE( CONTROL!$C$32, 49.4639, 49.4584) * CHOOSE(CONTROL!$C$15, $D$11, 100%, $F$11)</f>
        <v>49.463900000000002</v>
      </c>
      <c r="G910" s="8">
        <f>CHOOSE( CONTROL!$C$32, 47.6018, 47.5963) * CHOOSE( CONTROL!$C$15, $D$11, 100%, $F$11)</f>
        <v>47.601799999999997</v>
      </c>
      <c r="H910" s="4">
        <f>CHOOSE( CONTROL!$C$32, 48.5464, 48.5409) * CHOOSE(CONTROL!$C$15, $D$11, 100%, $F$11)</f>
        <v>48.546399999999998</v>
      </c>
      <c r="I910" s="8">
        <f>CHOOSE( CONTROL!$C$32, 46.9136, 46.9083) * CHOOSE(CONTROL!$C$15, $D$11, 100%, $F$11)</f>
        <v>46.913600000000002</v>
      </c>
      <c r="J910" s="4">
        <f>CHOOSE( CONTROL!$C$32, 46.7771, 46.7718) * CHOOSE(CONTROL!$C$15, $D$11, 100%, $F$11)</f>
        <v>46.777099999999997</v>
      </c>
      <c r="K910" s="4"/>
      <c r="L910" s="9">
        <v>29.7257</v>
      </c>
      <c r="M910" s="9">
        <v>11.6745</v>
      </c>
      <c r="N910" s="9">
        <v>4.7850000000000001</v>
      </c>
      <c r="O910" s="9">
        <v>0.36199999999999999</v>
      </c>
      <c r="P910" s="9">
        <v>1.1791</v>
      </c>
      <c r="Q910" s="9">
        <v>19.053000000000001</v>
      </c>
      <c r="R910" s="9"/>
      <c r="S910" s="11"/>
    </row>
    <row r="911" spans="1:19" ht="15.75">
      <c r="A911" s="13">
        <v>69245</v>
      </c>
      <c r="B911" s="8">
        <f>CHOOSE( CONTROL!$C$32, 50.8478, 50.8422) * CHOOSE(CONTROL!$C$15, $D$11, 100%, $F$11)</f>
        <v>50.847799999999999</v>
      </c>
      <c r="C911" s="8">
        <f>CHOOSE( CONTROL!$C$32, 50.8559, 50.8503) * CHOOSE(CONTROL!$C$15, $D$11, 100%, $F$11)</f>
        <v>50.855899999999998</v>
      </c>
      <c r="D911" s="8">
        <f>CHOOSE( CONTROL!$C$32, 50.8822, 50.8766) * CHOOSE( CONTROL!$C$15, $D$11, 100%, $F$11)</f>
        <v>50.882199999999997</v>
      </c>
      <c r="E911" s="12">
        <f>CHOOSE( CONTROL!$C$32, 50.8714, 50.8658) * CHOOSE( CONTROL!$C$15, $D$11, 100%, $F$11)</f>
        <v>50.871400000000001</v>
      </c>
      <c r="F911" s="4">
        <f>CHOOSE( CONTROL!$C$32, 51.5602, 51.5546) * CHOOSE(CONTROL!$C$15, $D$11, 100%, $F$11)</f>
        <v>51.560200000000002</v>
      </c>
      <c r="G911" s="8">
        <f>CHOOSE( CONTROL!$C$32, 49.6495, 49.644) * CHOOSE( CONTROL!$C$15, $D$11, 100%, $F$11)</f>
        <v>49.649500000000003</v>
      </c>
      <c r="H911" s="4">
        <f>CHOOSE( CONTROL!$C$32, 50.5938, 50.5883) * CHOOSE(CONTROL!$C$15, $D$11, 100%, $F$11)</f>
        <v>50.593800000000002</v>
      </c>
      <c r="I911" s="8">
        <f>CHOOSE( CONTROL!$C$32, 48.9282, 48.9228) * CHOOSE(CONTROL!$C$15, $D$11, 100%, $F$11)</f>
        <v>48.928199999999997</v>
      </c>
      <c r="J911" s="4">
        <f>CHOOSE( CONTROL!$C$32, 48.7897, 48.7844) * CHOOSE(CONTROL!$C$15, $D$11, 100%, $F$11)</f>
        <v>48.789700000000003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1.2183999999999999</v>
      </c>
      <c r="Q911" s="9">
        <v>19.688099999999999</v>
      </c>
      <c r="R911" s="9"/>
      <c r="S911" s="11"/>
    </row>
    <row r="912" spans="1:19" ht="15.75">
      <c r="A912" s="13">
        <v>69276</v>
      </c>
      <c r="B912" s="8">
        <f>CHOOSE( CONTROL!$C$32, 46.9255, 46.9199) * CHOOSE(CONTROL!$C$15, $D$11, 100%, $F$11)</f>
        <v>46.9255</v>
      </c>
      <c r="C912" s="8">
        <f>CHOOSE( CONTROL!$C$32, 46.9336, 46.928) * CHOOSE(CONTROL!$C$15, $D$11, 100%, $F$11)</f>
        <v>46.933599999999998</v>
      </c>
      <c r="D912" s="8">
        <f>CHOOSE( CONTROL!$C$32, 46.96, 46.9544) * CHOOSE( CONTROL!$C$15, $D$11, 100%, $F$11)</f>
        <v>46.96</v>
      </c>
      <c r="E912" s="12">
        <f>CHOOSE( CONTROL!$C$32, 46.9492, 46.9436) * CHOOSE( CONTROL!$C$15, $D$11, 100%, $F$11)</f>
        <v>46.949199999999998</v>
      </c>
      <c r="F912" s="4">
        <f>CHOOSE( CONTROL!$C$32, 47.6379, 47.6323) * CHOOSE(CONTROL!$C$15, $D$11, 100%, $F$11)</f>
        <v>47.637900000000002</v>
      </c>
      <c r="G912" s="8">
        <f>CHOOSE( CONTROL!$C$32, 45.8186, 45.8132) * CHOOSE( CONTROL!$C$15, $D$11, 100%, $F$11)</f>
        <v>45.818600000000004</v>
      </c>
      <c r="H912" s="4">
        <f>CHOOSE( CONTROL!$C$32, 46.7629, 46.7574) * CHOOSE(CONTROL!$C$15, $D$11, 100%, $F$11)</f>
        <v>46.762900000000002</v>
      </c>
      <c r="I912" s="8">
        <f>CHOOSE( CONTROL!$C$32, 45.1608, 45.1554) * CHOOSE(CONTROL!$C$15, $D$11, 100%, $F$11)</f>
        <v>45.160800000000002</v>
      </c>
      <c r="J912" s="4">
        <f>CHOOSE( CONTROL!$C$32, 45.0239, 45.0186) * CHOOSE(CONTROL!$C$15, $D$11, 100%, $F$11)</f>
        <v>45.023899999999998</v>
      </c>
      <c r="K912" s="4"/>
      <c r="L912" s="9">
        <v>30.7165</v>
      </c>
      <c r="M912" s="9">
        <v>12.063700000000001</v>
      </c>
      <c r="N912" s="9">
        <v>4.9444999999999997</v>
      </c>
      <c r="O912" s="9">
        <v>0.37409999999999999</v>
      </c>
      <c r="P912" s="9">
        <v>1.2183999999999999</v>
      </c>
      <c r="Q912" s="9">
        <v>19.688099999999999</v>
      </c>
      <c r="R912" s="9"/>
      <c r="S912" s="11"/>
    </row>
    <row r="913" spans="1:19" ht="15.75">
      <c r="A913" s="13">
        <v>69306</v>
      </c>
      <c r="B913" s="8">
        <f>CHOOSE( CONTROL!$C$32, 45.9433, 45.9377) * CHOOSE(CONTROL!$C$15, $D$11, 100%, $F$11)</f>
        <v>45.943300000000001</v>
      </c>
      <c r="C913" s="8">
        <f>CHOOSE( CONTROL!$C$32, 45.9514, 45.9458) * CHOOSE(CONTROL!$C$15, $D$11, 100%, $F$11)</f>
        <v>45.9514</v>
      </c>
      <c r="D913" s="8">
        <f>CHOOSE( CONTROL!$C$32, 45.9777, 45.9722) * CHOOSE( CONTROL!$C$15, $D$11, 100%, $F$11)</f>
        <v>45.977699999999999</v>
      </c>
      <c r="E913" s="12">
        <f>CHOOSE( CONTROL!$C$32, 45.9669, 45.9614) * CHOOSE( CONTROL!$C$15, $D$11, 100%, $F$11)</f>
        <v>45.966900000000003</v>
      </c>
      <c r="F913" s="4">
        <f>CHOOSE( CONTROL!$C$32, 46.6557, 46.6501) * CHOOSE(CONTROL!$C$15, $D$11, 100%, $F$11)</f>
        <v>46.655700000000003</v>
      </c>
      <c r="G913" s="8">
        <f>CHOOSE( CONTROL!$C$32, 44.8593, 44.8538) * CHOOSE( CONTROL!$C$15, $D$11, 100%, $F$11)</f>
        <v>44.859299999999998</v>
      </c>
      <c r="H913" s="4">
        <f>CHOOSE( CONTROL!$C$32, 45.8036, 45.7981) * CHOOSE(CONTROL!$C$15, $D$11, 100%, $F$11)</f>
        <v>45.803600000000003</v>
      </c>
      <c r="I913" s="8">
        <f>CHOOSE( CONTROL!$C$32, 44.2171, 44.2117) * CHOOSE(CONTROL!$C$15, $D$11, 100%, $F$11)</f>
        <v>44.217100000000002</v>
      </c>
      <c r="J913" s="4">
        <f>CHOOSE( CONTROL!$C$32, 44.0809, 44.0756) * CHOOSE(CONTROL!$C$15, $D$11, 100%, $F$11)</f>
        <v>44.0809</v>
      </c>
      <c r="K913" s="4"/>
      <c r="L913" s="9">
        <v>29.7257</v>
      </c>
      <c r="M913" s="9">
        <v>11.6745</v>
      </c>
      <c r="N913" s="9">
        <v>4.7850000000000001</v>
      </c>
      <c r="O913" s="9">
        <v>0.36199999999999999</v>
      </c>
      <c r="P913" s="9">
        <v>1.1791</v>
      </c>
      <c r="Q913" s="9">
        <v>19.053000000000001</v>
      </c>
      <c r="R913" s="9"/>
      <c r="S913" s="11"/>
    </row>
    <row r="914" spans="1:19" ht="15.75">
      <c r="A914" s="13">
        <v>69337</v>
      </c>
      <c r="B914" s="8">
        <f>47.9754 * CHOOSE(CONTROL!$C$15, $D$11, 100%, $F$11)</f>
        <v>47.9754</v>
      </c>
      <c r="C914" s="8">
        <f>47.9808 * CHOOSE(CONTROL!$C$15, $D$11, 100%, $F$11)</f>
        <v>47.980800000000002</v>
      </c>
      <c r="D914" s="8">
        <f>48.012 * CHOOSE( CONTROL!$C$15, $D$11, 100%, $F$11)</f>
        <v>48.012</v>
      </c>
      <c r="E914" s="12">
        <f>48.0011 * CHOOSE( CONTROL!$C$15, $D$11, 100%, $F$11)</f>
        <v>48.001100000000001</v>
      </c>
      <c r="F914" s="4">
        <f>48.6895 * CHOOSE(CONTROL!$C$15, $D$11, 100%, $F$11)</f>
        <v>48.689500000000002</v>
      </c>
      <c r="G914" s="8">
        <f>46.8448 * CHOOSE( CONTROL!$C$15, $D$11, 100%, $F$11)</f>
        <v>46.844799999999999</v>
      </c>
      <c r="H914" s="4">
        <f>47.79 * CHOOSE(CONTROL!$C$15, $D$11, 100%, $F$11)</f>
        <v>47.79</v>
      </c>
      <c r="I914" s="8">
        <f>46.1716 * CHOOSE(CONTROL!$C$15, $D$11, 100%, $F$11)</f>
        <v>46.171599999999998</v>
      </c>
      <c r="J914" s="4">
        <f>46.0336 * CHOOSE(CONTROL!$C$15, $D$11, 100%, $F$11)</f>
        <v>46.0336</v>
      </c>
      <c r="K914" s="4"/>
      <c r="L914" s="9">
        <v>31.095300000000002</v>
      </c>
      <c r="M914" s="9">
        <v>12.063700000000001</v>
      </c>
      <c r="N914" s="9">
        <v>4.9444999999999997</v>
      </c>
      <c r="O914" s="9">
        <v>0.37409999999999999</v>
      </c>
      <c r="P914" s="9">
        <v>1.2183999999999999</v>
      </c>
      <c r="Q914" s="9">
        <v>19.688099999999999</v>
      </c>
      <c r="R914" s="9"/>
      <c r="S914" s="11"/>
    </row>
    <row r="915" spans="1:19" ht="15.75">
      <c r="A915" s="13">
        <v>69367</v>
      </c>
      <c r="B915" s="8">
        <f>51.7392 * CHOOSE(CONTROL!$C$15, $D$11, 100%, $F$11)</f>
        <v>51.739199999999997</v>
      </c>
      <c r="C915" s="8">
        <f>51.7444 * CHOOSE(CONTROL!$C$15, $D$11, 100%, $F$11)</f>
        <v>51.744399999999999</v>
      </c>
      <c r="D915" s="8">
        <f>51.7306 * CHOOSE( CONTROL!$C$15, $D$11, 100%, $F$11)</f>
        <v>51.730600000000003</v>
      </c>
      <c r="E915" s="12">
        <f>51.7351 * CHOOSE( CONTROL!$C$15, $D$11, 100%, $F$11)</f>
        <v>51.735100000000003</v>
      </c>
      <c r="F915" s="4">
        <f>52.3897 * CHOOSE(CONTROL!$C$15, $D$11, 100%, $F$11)</f>
        <v>52.389699999999998</v>
      </c>
      <c r="G915" s="8">
        <f>50.529 * CHOOSE( CONTROL!$C$15, $D$11, 100%, $F$11)</f>
        <v>50.529000000000003</v>
      </c>
      <c r="H915" s="4">
        <f>51.404 * CHOOSE(CONTROL!$C$15, $D$11, 100%, $F$11)</f>
        <v>51.404000000000003</v>
      </c>
      <c r="I915" s="8">
        <f>49.831 * CHOOSE(CONTROL!$C$15, $D$11, 100%, $F$11)</f>
        <v>49.831000000000003</v>
      </c>
      <c r="J915" s="4">
        <f>49.6476 * CHOOSE(CONTROL!$C$15, $D$11, 100%, $F$11)</f>
        <v>49.647599999999997</v>
      </c>
      <c r="K915" s="4"/>
      <c r="L915" s="9">
        <v>28.360600000000002</v>
      </c>
      <c r="M915" s="9">
        <v>11.6745</v>
      </c>
      <c r="N915" s="9">
        <v>4.7850000000000001</v>
      </c>
      <c r="O915" s="9">
        <v>0.36199999999999999</v>
      </c>
      <c r="P915" s="9">
        <v>1.2509999999999999</v>
      </c>
      <c r="Q915" s="9">
        <v>19.053000000000001</v>
      </c>
      <c r="R915" s="9"/>
      <c r="S915" s="11"/>
    </row>
    <row r="916" spans="1:19" ht="15.75">
      <c r="A916" s="13">
        <v>69398</v>
      </c>
      <c r="B916" s="8">
        <f>51.6452 * CHOOSE(CONTROL!$C$15, $D$11, 100%, $F$11)</f>
        <v>51.645200000000003</v>
      </c>
      <c r="C916" s="8">
        <f>51.6503 * CHOOSE(CONTROL!$C$15, $D$11, 100%, $F$11)</f>
        <v>51.650300000000001</v>
      </c>
      <c r="D916" s="8">
        <f>51.6381 * CHOOSE( CONTROL!$C$15, $D$11, 100%, $F$11)</f>
        <v>51.638100000000001</v>
      </c>
      <c r="E916" s="12">
        <f>51.642 * CHOOSE( CONTROL!$C$15, $D$11, 100%, $F$11)</f>
        <v>51.642000000000003</v>
      </c>
      <c r="F916" s="4">
        <f>52.2956 * CHOOSE(CONTROL!$C$15, $D$11, 100%, $F$11)</f>
        <v>52.2956</v>
      </c>
      <c r="G916" s="8">
        <f>50.4382 * CHOOSE( CONTROL!$C$15, $D$11, 100%, $F$11)</f>
        <v>50.438200000000002</v>
      </c>
      <c r="H916" s="4">
        <f>51.3121 * CHOOSE(CONTROL!$C$15, $D$11, 100%, $F$11)</f>
        <v>51.312100000000001</v>
      </c>
      <c r="I916" s="8">
        <f>49.7455 * CHOOSE(CONTROL!$C$15, $D$11, 100%, $F$11)</f>
        <v>49.7455</v>
      </c>
      <c r="J916" s="4">
        <f>49.5573 * CHOOSE(CONTROL!$C$15, $D$11, 100%, $F$11)</f>
        <v>49.557299999999998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69429</v>
      </c>
      <c r="B917" s="8">
        <f>53.6179 * CHOOSE(CONTROL!$C$15, $D$11, 100%, $F$11)</f>
        <v>53.617899999999999</v>
      </c>
      <c r="C917" s="8">
        <f>53.6231 * CHOOSE(CONTROL!$C$15, $D$11, 100%, $F$11)</f>
        <v>53.623100000000001</v>
      </c>
      <c r="D917" s="8">
        <f>53.6055 * CHOOSE( CONTROL!$C$15, $D$11, 100%, $F$11)</f>
        <v>53.605499999999999</v>
      </c>
      <c r="E917" s="12">
        <f>53.6114 * CHOOSE( CONTROL!$C$15, $D$11, 100%, $F$11)</f>
        <v>53.611400000000003</v>
      </c>
      <c r="F917" s="4">
        <f>54.2684 * CHOOSE(CONTROL!$C$15, $D$11, 100%, $F$11)</f>
        <v>54.2684</v>
      </c>
      <c r="G917" s="8">
        <f>52.355 * CHOOSE( CONTROL!$C$15, $D$11, 100%, $F$11)</f>
        <v>52.354999999999997</v>
      </c>
      <c r="H917" s="4">
        <f>53.2389 * CHOOSE(CONTROL!$C$15, $D$11, 100%, $F$11)</f>
        <v>53.238900000000001</v>
      </c>
      <c r="I917" s="8">
        <f>51.6003 * CHOOSE(CONTROL!$C$15, $D$11, 100%, $F$11)</f>
        <v>51.600299999999997</v>
      </c>
      <c r="J917" s="4">
        <f>51.4514 * CHOOSE(CONTROL!$C$15, $D$11, 100%, $F$11)</f>
        <v>51.4514</v>
      </c>
      <c r="K917" s="4"/>
      <c r="L917" s="9">
        <v>29.306000000000001</v>
      </c>
      <c r="M917" s="9">
        <v>12.063700000000001</v>
      </c>
      <c r="N917" s="9">
        <v>4.9444999999999997</v>
      </c>
      <c r="O917" s="9">
        <v>0.37409999999999999</v>
      </c>
      <c r="P917" s="9">
        <v>1.2927</v>
      </c>
      <c r="Q917" s="9">
        <v>19.688099999999999</v>
      </c>
      <c r="R917" s="9"/>
      <c r="S917" s="11"/>
    </row>
    <row r="918" spans="1:19" ht="15.75">
      <c r="A918" s="13">
        <v>69457</v>
      </c>
      <c r="B918" s="8">
        <f>50.1534 * CHOOSE(CONTROL!$C$15, $D$11, 100%, $F$11)</f>
        <v>50.153399999999998</v>
      </c>
      <c r="C918" s="8">
        <f>50.1586 * CHOOSE(CONTROL!$C$15, $D$11, 100%, $F$11)</f>
        <v>50.1586</v>
      </c>
      <c r="D918" s="8">
        <f>50.141 * CHOOSE( CONTROL!$C$15, $D$11, 100%, $F$11)</f>
        <v>50.140999999999998</v>
      </c>
      <c r="E918" s="12">
        <f>50.1469 * CHOOSE( CONTROL!$C$15, $D$11, 100%, $F$11)</f>
        <v>50.146900000000002</v>
      </c>
      <c r="F918" s="4">
        <f>50.8039 * CHOOSE(CONTROL!$C$15, $D$11, 100%, $F$11)</f>
        <v>50.803899999999999</v>
      </c>
      <c r="G918" s="8">
        <f>48.9712 * CHOOSE( CONTROL!$C$15, $D$11, 100%, $F$11)</f>
        <v>48.971200000000003</v>
      </c>
      <c r="H918" s="4">
        <f>49.8551 * CHOOSE(CONTROL!$C$15, $D$11, 100%, $F$11)</f>
        <v>49.8551</v>
      </c>
      <c r="I918" s="8">
        <f>48.2722 * CHOOSE(CONTROL!$C$15, $D$11, 100%, $F$11)</f>
        <v>48.272199999999998</v>
      </c>
      <c r="J918" s="4">
        <f>48.1251 * CHOOSE(CONTROL!$C$15, $D$11, 100%, $F$11)</f>
        <v>48.125100000000003</v>
      </c>
      <c r="K918" s="4"/>
      <c r="L918" s="9">
        <v>26.469899999999999</v>
      </c>
      <c r="M918" s="9">
        <v>10.8962</v>
      </c>
      <c r="N918" s="9">
        <v>4.4660000000000002</v>
      </c>
      <c r="O918" s="9">
        <v>0.33789999999999998</v>
      </c>
      <c r="P918" s="9">
        <v>1.1676</v>
      </c>
      <c r="Q918" s="9">
        <v>17.782800000000002</v>
      </c>
      <c r="R918" s="9"/>
      <c r="S918" s="11"/>
    </row>
    <row r="919" spans="1:19" ht="15.75">
      <c r="A919" s="13">
        <v>69488</v>
      </c>
      <c r="B919" s="8">
        <f>49.0864 * CHOOSE(CONTROL!$C$15, $D$11, 100%, $F$11)</f>
        <v>49.086399999999998</v>
      </c>
      <c r="C919" s="8">
        <f>49.0916 * CHOOSE(CONTROL!$C$15, $D$11, 100%, $F$11)</f>
        <v>49.0916</v>
      </c>
      <c r="D919" s="8">
        <f>49.0736 * CHOOSE( CONTROL!$C$15, $D$11, 100%, $F$11)</f>
        <v>49.073599999999999</v>
      </c>
      <c r="E919" s="12">
        <f>49.0796 * CHOOSE( CONTROL!$C$15, $D$11, 100%, $F$11)</f>
        <v>49.079599999999999</v>
      </c>
      <c r="F919" s="4">
        <f>49.7369 * CHOOSE(CONTROL!$C$15, $D$11, 100%, $F$11)</f>
        <v>49.736899999999999</v>
      </c>
      <c r="G919" s="8">
        <f>47.9287 * CHOOSE( CONTROL!$C$15, $D$11, 100%, $F$11)</f>
        <v>47.928699999999999</v>
      </c>
      <c r="H919" s="4">
        <f>48.813 * CHOOSE(CONTROL!$C$15, $D$11, 100%, $F$11)</f>
        <v>48.813000000000002</v>
      </c>
      <c r="I919" s="8">
        <f>47.2461 * CHOOSE(CONTROL!$C$15, $D$11, 100%, $F$11)</f>
        <v>47.246099999999998</v>
      </c>
      <c r="J919" s="4">
        <f>47.1007 * CHOOSE(CONTROL!$C$15, $D$11, 100%, $F$11)</f>
        <v>47.100700000000003</v>
      </c>
      <c r="K919" s="4"/>
      <c r="L919" s="9">
        <v>29.306000000000001</v>
      </c>
      <c r="M919" s="9">
        <v>12.063700000000001</v>
      </c>
      <c r="N919" s="9">
        <v>4.9444999999999997</v>
      </c>
      <c r="O919" s="9">
        <v>0.37409999999999999</v>
      </c>
      <c r="P919" s="9">
        <v>1.2927</v>
      </c>
      <c r="Q919" s="9">
        <v>19.688099999999999</v>
      </c>
      <c r="R919" s="9"/>
      <c r="S919" s="11"/>
    </row>
    <row r="920" spans="1:19" ht="15.75">
      <c r="A920" s="13">
        <v>69518</v>
      </c>
      <c r="B920" s="8">
        <f>49.8328 * CHOOSE(CONTROL!$C$15, $D$11, 100%, $F$11)</f>
        <v>49.832799999999999</v>
      </c>
      <c r="C920" s="8">
        <f>49.8374 * CHOOSE(CONTROL!$C$15, $D$11, 100%, $F$11)</f>
        <v>49.837400000000002</v>
      </c>
      <c r="D920" s="8">
        <f>49.8685 * CHOOSE( CONTROL!$C$15, $D$11, 100%, $F$11)</f>
        <v>49.868499999999997</v>
      </c>
      <c r="E920" s="12">
        <f>49.8577 * CHOOSE( CONTROL!$C$15, $D$11, 100%, $F$11)</f>
        <v>49.857700000000001</v>
      </c>
      <c r="F920" s="4">
        <f>50.5466 * CHOOSE(CONTROL!$C$15, $D$11, 100%, $F$11)</f>
        <v>50.546599999999998</v>
      </c>
      <c r="G920" s="8">
        <f>48.6578 * CHOOSE( CONTROL!$C$15, $D$11, 100%, $F$11)</f>
        <v>48.657800000000002</v>
      </c>
      <c r="H920" s="4">
        <f>49.6038 * CHOOSE(CONTROL!$C$15, $D$11, 100%, $F$11)</f>
        <v>49.6038</v>
      </c>
      <c r="I920" s="8">
        <f>47.9528 * CHOOSE(CONTROL!$C$15, $D$11, 100%, $F$11)</f>
        <v>47.952800000000003</v>
      </c>
      <c r="J920" s="4">
        <f>47.8166 * CHOOSE(CONTROL!$C$15, $D$11, 100%, $F$11)</f>
        <v>47.816600000000001</v>
      </c>
      <c r="K920" s="4"/>
      <c r="L920" s="9">
        <v>30.092199999999998</v>
      </c>
      <c r="M920" s="9">
        <v>11.6745</v>
      </c>
      <c r="N920" s="9">
        <v>4.7850000000000001</v>
      </c>
      <c r="O920" s="9">
        <v>0.36199999999999999</v>
      </c>
      <c r="P920" s="9">
        <v>1.1791</v>
      </c>
      <c r="Q920" s="9">
        <v>19.053000000000001</v>
      </c>
      <c r="R920" s="9"/>
      <c r="S920" s="11"/>
    </row>
    <row r="921" spans="1:19" ht="15.75">
      <c r="A921" s="13">
        <v>69549</v>
      </c>
      <c r="B921" s="8">
        <f>CHOOSE( CONTROL!$C$32, 51.1668, 51.1612) * CHOOSE(CONTROL!$C$15, $D$11, 100%, $F$11)</f>
        <v>51.166800000000002</v>
      </c>
      <c r="C921" s="8">
        <f>CHOOSE( CONTROL!$C$32, 51.1749, 51.1693) * CHOOSE(CONTROL!$C$15, $D$11, 100%, $F$11)</f>
        <v>51.174900000000001</v>
      </c>
      <c r="D921" s="8">
        <f>CHOOSE( CONTROL!$C$32, 51.2008, 51.1953) * CHOOSE( CONTROL!$C$15, $D$11, 100%, $F$11)</f>
        <v>51.200800000000001</v>
      </c>
      <c r="E921" s="12">
        <f>CHOOSE( CONTROL!$C$32, 51.1902, 51.1846) * CHOOSE( CONTROL!$C$15, $D$11, 100%, $F$11)</f>
        <v>51.190199999999997</v>
      </c>
      <c r="F921" s="4">
        <f>CHOOSE( CONTROL!$C$32, 51.8792, 51.8736) * CHOOSE(CONTROL!$C$15, $D$11, 100%, $F$11)</f>
        <v>51.879199999999997</v>
      </c>
      <c r="G921" s="8">
        <f>CHOOSE( CONTROL!$C$32, 49.9605, 49.9551) * CHOOSE( CONTROL!$C$15, $D$11, 100%, $F$11)</f>
        <v>49.960500000000003</v>
      </c>
      <c r="H921" s="4">
        <f>CHOOSE( CONTROL!$C$32, 50.9054, 50.8999) * CHOOSE(CONTROL!$C$15, $D$11, 100%, $F$11)</f>
        <v>50.9054</v>
      </c>
      <c r="I921" s="8">
        <f>CHOOSE( CONTROL!$C$32, 49.2328, 49.2275) * CHOOSE(CONTROL!$C$15, $D$11, 100%, $F$11)</f>
        <v>49.232799999999997</v>
      </c>
      <c r="J921" s="4">
        <f>CHOOSE( CONTROL!$C$32, 49.096, 49.0907) * CHOOSE(CONTROL!$C$15, $D$11, 100%, $F$11)</f>
        <v>49.095999999999997</v>
      </c>
      <c r="K921" s="4"/>
      <c r="L921" s="9">
        <v>30.7165</v>
      </c>
      <c r="M921" s="9">
        <v>12.063700000000001</v>
      </c>
      <c r="N921" s="9">
        <v>4.9444999999999997</v>
      </c>
      <c r="O921" s="9">
        <v>0.37409999999999999</v>
      </c>
      <c r="P921" s="9">
        <v>1.2183999999999999</v>
      </c>
      <c r="Q921" s="9">
        <v>19.688099999999999</v>
      </c>
      <c r="R921" s="9"/>
      <c r="S921" s="11"/>
    </row>
    <row r="922" spans="1:19" ht="15.75">
      <c r="A922" s="13">
        <v>69579</v>
      </c>
      <c r="B922" s="8">
        <f>CHOOSE( CONTROL!$C$32, 50.3447, 50.3391) * CHOOSE(CONTROL!$C$15, $D$11, 100%, $F$11)</f>
        <v>50.344700000000003</v>
      </c>
      <c r="C922" s="8">
        <f>CHOOSE( CONTROL!$C$32, 50.3528, 50.3472) * CHOOSE(CONTROL!$C$15, $D$11, 100%, $F$11)</f>
        <v>50.352800000000002</v>
      </c>
      <c r="D922" s="8">
        <f>CHOOSE( CONTROL!$C$32, 50.3789, 50.3734) * CHOOSE( CONTROL!$C$15, $D$11, 100%, $F$11)</f>
        <v>50.378900000000002</v>
      </c>
      <c r="E922" s="12">
        <f>CHOOSE( CONTROL!$C$32, 50.3682, 50.3627) * CHOOSE( CONTROL!$C$15, $D$11, 100%, $F$11)</f>
        <v>50.368200000000002</v>
      </c>
      <c r="F922" s="4">
        <f>CHOOSE( CONTROL!$C$32, 51.0571, 51.0515) * CHOOSE(CONTROL!$C$15, $D$11, 100%, $F$11)</f>
        <v>51.057099999999998</v>
      </c>
      <c r="G922" s="8">
        <f>CHOOSE( CONTROL!$C$32, 49.1578, 49.1524) * CHOOSE( CONTROL!$C$15, $D$11, 100%, $F$11)</f>
        <v>49.157800000000002</v>
      </c>
      <c r="H922" s="4">
        <f>CHOOSE( CONTROL!$C$32, 50.1024, 50.097) * CHOOSE(CONTROL!$C$15, $D$11, 100%, $F$11)</f>
        <v>50.102400000000003</v>
      </c>
      <c r="I922" s="8">
        <f>CHOOSE( CONTROL!$C$32, 48.444, 48.4386) * CHOOSE(CONTROL!$C$15, $D$11, 100%, $F$11)</f>
        <v>48.444000000000003</v>
      </c>
      <c r="J922" s="4">
        <f>CHOOSE( CONTROL!$C$32, 48.3067, 48.3014) * CHOOSE(CONTROL!$C$15, $D$11, 100%, $F$11)</f>
        <v>48.306699999999999</v>
      </c>
      <c r="K922" s="4"/>
      <c r="L922" s="9">
        <v>29.7257</v>
      </c>
      <c r="M922" s="9">
        <v>11.6745</v>
      </c>
      <c r="N922" s="9">
        <v>4.7850000000000001</v>
      </c>
      <c r="O922" s="9">
        <v>0.36199999999999999</v>
      </c>
      <c r="P922" s="9">
        <v>1.1791</v>
      </c>
      <c r="Q922" s="9">
        <v>19.053000000000001</v>
      </c>
      <c r="R922" s="9"/>
      <c r="S922" s="11"/>
    </row>
    <row r="923" spans="1:19" ht="15.75">
      <c r="A923" s="13">
        <v>69610</v>
      </c>
      <c r="B923" s="8">
        <f>CHOOSE( CONTROL!$C$32, 52.5095, 52.5039) * CHOOSE(CONTROL!$C$15, $D$11, 100%, $F$11)</f>
        <v>52.509500000000003</v>
      </c>
      <c r="C923" s="8">
        <f>CHOOSE( CONTROL!$C$32, 52.5176, 52.512) * CHOOSE(CONTROL!$C$15, $D$11, 100%, $F$11)</f>
        <v>52.517600000000002</v>
      </c>
      <c r="D923" s="8">
        <f>CHOOSE( CONTROL!$C$32, 52.5439, 52.5384) * CHOOSE( CONTROL!$C$15, $D$11, 100%, $F$11)</f>
        <v>52.543900000000001</v>
      </c>
      <c r="E923" s="12">
        <f>CHOOSE( CONTROL!$C$32, 52.5331, 52.5276) * CHOOSE( CONTROL!$C$15, $D$11, 100%, $F$11)</f>
        <v>52.533099999999997</v>
      </c>
      <c r="F923" s="4">
        <f>CHOOSE( CONTROL!$C$32, 53.2219, 53.2163) * CHOOSE(CONTROL!$C$15, $D$11, 100%, $F$11)</f>
        <v>53.221899999999998</v>
      </c>
      <c r="G923" s="8">
        <f>CHOOSE( CONTROL!$C$32, 51.2725, 51.2671) * CHOOSE( CONTROL!$C$15, $D$11, 100%, $F$11)</f>
        <v>51.272500000000001</v>
      </c>
      <c r="H923" s="4">
        <f>CHOOSE( CONTROL!$C$32, 52.2168, 52.2114) * CHOOSE(CONTROL!$C$15, $D$11, 100%, $F$11)</f>
        <v>52.216799999999999</v>
      </c>
      <c r="I923" s="8">
        <f>CHOOSE( CONTROL!$C$32, 50.5244, 50.519) * CHOOSE(CONTROL!$C$15, $D$11, 100%, $F$11)</f>
        <v>50.5244</v>
      </c>
      <c r="J923" s="4">
        <f>CHOOSE( CONTROL!$C$32, 50.3852, 50.3798) * CHOOSE(CONTROL!$C$15, $D$11, 100%, $F$11)</f>
        <v>50.385199999999998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1.2183999999999999</v>
      </c>
      <c r="Q923" s="9">
        <v>19.688099999999999</v>
      </c>
      <c r="R923" s="9"/>
      <c r="S923" s="11"/>
    </row>
    <row r="924" spans="1:19" ht="15.75">
      <c r="A924" s="13">
        <v>69641</v>
      </c>
      <c r="B924" s="8">
        <f>CHOOSE( CONTROL!$C$32, 48.4589, 48.4534) * CHOOSE(CONTROL!$C$15, $D$11, 100%, $F$11)</f>
        <v>48.4589</v>
      </c>
      <c r="C924" s="8">
        <f>CHOOSE( CONTROL!$C$32, 48.467, 48.4615) * CHOOSE(CONTROL!$C$15, $D$11, 100%, $F$11)</f>
        <v>48.466999999999999</v>
      </c>
      <c r="D924" s="8">
        <f>CHOOSE( CONTROL!$C$32, 48.4934, 48.4879) * CHOOSE( CONTROL!$C$15, $D$11, 100%, $F$11)</f>
        <v>48.493400000000001</v>
      </c>
      <c r="E924" s="12">
        <f>CHOOSE( CONTROL!$C$32, 48.4826, 48.4771) * CHOOSE( CONTROL!$C$15, $D$11, 100%, $F$11)</f>
        <v>48.482599999999998</v>
      </c>
      <c r="F924" s="4">
        <f>CHOOSE( CONTROL!$C$32, 49.1713, 49.1658) * CHOOSE(CONTROL!$C$15, $D$11, 100%, $F$11)</f>
        <v>49.171300000000002</v>
      </c>
      <c r="G924" s="8">
        <f>CHOOSE( CONTROL!$C$32, 47.3164, 47.3109) * CHOOSE( CONTROL!$C$15, $D$11, 100%, $F$11)</f>
        <v>47.316400000000002</v>
      </c>
      <c r="H924" s="4">
        <f>CHOOSE( CONTROL!$C$32, 48.2606, 48.2552) * CHOOSE(CONTROL!$C$15, $D$11, 100%, $F$11)</f>
        <v>48.260599999999997</v>
      </c>
      <c r="I924" s="8">
        <f>CHOOSE( CONTROL!$C$32, 46.6338, 46.6284) * CHOOSE(CONTROL!$C$15, $D$11, 100%, $F$11)</f>
        <v>46.633800000000001</v>
      </c>
      <c r="J924" s="4">
        <f>CHOOSE( CONTROL!$C$32, 46.4962, 46.4909) * CHOOSE(CONTROL!$C$15, $D$11, 100%, $F$11)</f>
        <v>46.496200000000002</v>
      </c>
      <c r="K924" s="4"/>
      <c r="L924" s="9">
        <v>30.7165</v>
      </c>
      <c r="M924" s="9">
        <v>12.063700000000001</v>
      </c>
      <c r="N924" s="9">
        <v>4.9444999999999997</v>
      </c>
      <c r="O924" s="9">
        <v>0.37409999999999999</v>
      </c>
      <c r="P924" s="9">
        <v>1.2183999999999999</v>
      </c>
      <c r="Q924" s="9">
        <v>19.688099999999999</v>
      </c>
      <c r="R924" s="9"/>
      <c r="S924" s="11"/>
    </row>
    <row r="925" spans="1:19" ht="15.75">
      <c r="A925" s="13">
        <v>69671</v>
      </c>
      <c r="B925" s="8">
        <f>CHOOSE( CONTROL!$C$32, 47.4446, 47.4391) * CHOOSE(CONTROL!$C$15, $D$11, 100%, $F$11)</f>
        <v>47.444600000000001</v>
      </c>
      <c r="C925" s="8">
        <f>CHOOSE( CONTROL!$C$32, 47.4527, 47.4472) * CHOOSE(CONTROL!$C$15, $D$11, 100%, $F$11)</f>
        <v>47.4527</v>
      </c>
      <c r="D925" s="8">
        <f>CHOOSE( CONTROL!$C$32, 47.4791, 47.4735) * CHOOSE( CONTROL!$C$15, $D$11, 100%, $F$11)</f>
        <v>47.479100000000003</v>
      </c>
      <c r="E925" s="12">
        <f>CHOOSE( CONTROL!$C$32, 47.4683, 47.4627) * CHOOSE( CONTROL!$C$15, $D$11, 100%, $F$11)</f>
        <v>47.468299999999999</v>
      </c>
      <c r="F925" s="4">
        <f>CHOOSE( CONTROL!$C$32, 48.157, 48.1515) * CHOOSE(CONTROL!$C$15, $D$11, 100%, $F$11)</f>
        <v>48.156999999999996</v>
      </c>
      <c r="G925" s="8">
        <f>CHOOSE( CONTROL!$C$32, 46.3256, 46.3202) * CHOOSE( CONTROL!$C$15, $D$11, 100%, $F$11)</f>
        <v>46.325600000000001</v>
      </c>
      <c r="H925" s="4">
        <f>CHOOSE( CONTROL!$C$32, 47.2699, 47.2645) * CHOOSE(CONTROL!$C$15, $D$11, 100%, $F$11)</f>
        <v>47.2699</v>
      </c>
      <c r="I925" s="8">
        <f>CHOOSE( CONTROL!$C$32, 45.6592, 45.6539) * CHOOSE(CONTROL!$C$15, $D$11, 100%, $F$11)</f>
        <v>45.659199999999998</v>
      </c>
      <c r="J925" s="4">
        <f>CHOOSE( CONTROL!$C$32, 45.5224, 45.517) * CHOOSE(CONTROL!$C$15, $D$11, 100%, $F$11)</f>
        <v>45.522399999999998</v>
      </c>
      <c r="K925" s="4"/>
      <c r="L925" s="9">
        <v>29.7257</v>
      </c>
      <c r="M925" s="9">
        <v>11.6745</v>
      </c>
      <c r="N925" s="9">
        <v>4.7850000000000001</v>
      </c>
      <c r="O925" s="9">
        <v>0.36199999999999999</v>
      </c>
      <c r="P925" s="9">
        <v>1.1791</v>
      </c>
      <c r="Q925" s="9">
        <v>19.053000000000001</v>
      </c>
      <c r="R925" s="9"/>
      <c r="S925" s="11"/>
    </row>
    <row r="926" spans="1:19" ht="15.75">
      <c r="A926" s="13">
        <v>69702</v>
      </c>
      <c r="B926" s="8">
        <f>49.5434 * CHOOSE(CONTROL!$C$15, $D$11, 100%, $F$11)</f>
        <v>49.543399999999998</v>
      </c>
      <c r="C926" s="8">
        <f>49.5488 * CHOOSE(CONTROL!$C$15, $D$11, 100%, $F$11)</f>
        <v>49.5488</v>
      </c>
      <c r="D926" s="8">
        <f>49.58 * CHOOSE( CONTROL!$C$15, $D$11, 100%, $F$11)</f>
        <v>49.58</v>
      </c>
      <c r="E926" s="12">
        <f>49.5691 * CHOOSE( CONTROL!$C$15, $D$11, 100%, $F$11)</f>
        <v>49.569099999999999</v>
      </c>
      <c r="F926" s="4">
        <f>50.2575 * CHOOSE(CONTROL!$C$15, $D$11, 100%, $F$11)</f>
        <v>50.2575</v>
      </c>
      <c r="G926" s="8">
        <f>48.3763 * CHOOSE( CONTROL!$C$15, $D$11, 100%, $F$11)</f>
        <v>48.376300000000001</v>
      </c>
      <c r="H926" s="4">
        <f>49.3215 * CHOOSE(CONTROL!$C$15, $D$11, 100%, $F$11)</f>
        <v>49.3215</v>
      </c>
      <c r="I926" s="8">
        <f>47.6778 * CHOOSE(CONTROL!$C$15, $D$11, 100%, $F$11)</f>
        <v>47.677799999999998</v>
      </c>
      <c r="J926" s="4">
        <f>47.539 * CHOOSE(CONTROL!$C$15, $D$11, 100%, $F$11)</f>
        <v>47.539000000000001</v>
      </c>
      <c r="K926" s="4"/>
      <c r="L926" s="9">
        <v>31.095300000000002</v>
      </c>
      <c r="M926" s="9">
        <v>12.063700000000001</v>
      </c>
      <c r="N926" s="9">
        <v>4.9444999999999997</v>
      </c>
      <c r="O926" s="9">
        <v>0.37409999999999999</v>
      </c>
      <c r="P926" s="9">
        <v>1.2183999999999999</v>
      </c>
      <c r="Q926" s="9">
        <v>19.688099999999999</v>
      </c>
      <c r="R926" s="9"/>
      <c r="S926" s="11"/>
    </row>
    <row r="927" spans="1:19" ht="15.75">
      <c r="A927" s="13">
        <v>69732</v>
      </c>
      <c r="B927" s="8">
        <f>53.4303 * CHOOSE(CONTROL!$C$15, $D$11, 100%, $F$11)</f>
        <v>53.430300000000003</v>
      </c>
      <c r="C927" s="8">
        <f>53.4355 * CHOOSE(CONTROL!$C$15, $D$11, 100%, $F$11)</f>
        <v>53.435499999999998</v>
      </c>
      <c r="D927" s="8">
        <f>53.4218 * CHOOSE( CONTROL!$C$15, $D$11, 100%, $F$11)</f>
        <v>53.421799999999998</v>
      </c>
      <c r="E927" s="12">
        <f>53.4263 * CHOOSE( CONTROL!$C$15, $D$11, 100%, $F$11)</f>
        <v>53.426299999999998</v>
      </c>
      <c r="F927" s="4">
        <f>54.0808 * CHOOSE(CONTROL!$C$15, $D$11, 100%, $F$11)</f>
        <v>54.080800000000004</v>
      </c>
      <c r="G927" s="8">
        <f>52.1807 * CHOOSE( CONTROL!$C$15, $D$11, 100%, $F$11)</f>
        <v>52.180700000000002</v>
      </c>
      <c r="H927" s="4">
        <f>53.0557 * CHOOSE(CONTROL!$C$15, $D$11, 100%, $F$11)</f>
        <v>53.055700000000002</v>
      </c>
      <c r="I927" s="8">
        <f>51.4555 * CHOOSE(CONTROL!$C$15, $D$11, 100%, $F$11)</f>
        <v>51.455500000000001</v>
      </c>
      <c r="J927" s="4">
        <f>51.2713 * CHOOSE(CONTROL!$C$15, $D$11, 100%, $F$11)</f>
        <v>51.271299999999997</v>
      </c>
      <c r="K927" s="4"/>
      <c r="L927" s="9">
        <v>28.360600000000002</v>
      </c>
      <c r="M927" s="9">
        <v>11.6745</v>
      </c>
      <c r="N927" s="9">
        <v>4.7850000000000001</v>
      </c>
      <c r="O927" s="9">
        <v>0.36199999999999999</v>
      </c>
      <c r="P927" s="9">
        <v>1.2509999999999999</v>
      </c>
      <c r="Q927" s="9">
        <v>19.053000000000001</v>
      </c>
      <c r="R927" s="9"/>
      <c r="S927" s="11"/>
    </row>
    <row r="928" spans="1:19" ht="15.75">
      <c r="A928" s="13">
        <v>69763</v>
      </c>
      <c r="B928" s="8">
        <f>53.3332 * CHOOSE(CONTROL!$C$15, $D$11, 100%, $F$11)</f>
        <v>53.333199999999998</v>
      </c>
      <c r="C928" s="8">
        <f>53.3384 * CHOOSE(CONTROL!$C$15, $D$11, 100%, $F$11)</f>
        <v>53.3384</v>
      </c>
      <c r="D928" s="8">
        <f>53.3261 * CHOOSE( CONTROL!$C$15, $D$11, 100%, $F$11)</f>
        <v>53.326099999999997</v>
      </c>
      <c r="E928" s="12">
        <f>53.33 * CHOOSE( CONTROL!$C$15, $D$11, 100%, $F$11)</f>
        <v>53.33</v>
      </c>
      <c r="F928" s="4">
        <f>53.9837 * CHOOSE(CONTROL!$C$15, $D$11, 100%, $F$11)</f>
        <v>53.983699999999999</v>
      </c>
      <c r="G928" s="8">
        <f>52.0869 * CHOOSE( CONTROL!$C$15, $D$11, 100%, $F$11)</f>
        <v>52.0869</v>
      </c>
      <c r="H928" s="4">
        <f>52.9608 * CHOOSE(CONTROL!$C$15, $D$11, 100%, $F$11)</f>
        <v>52.960799999999999</v>
      </c>
      <c r="I928" s="8">
        <f>51.367 * CHOOSE(CONTROL!$C$15, $D$11, 100%, $F$11)</f>
        <v>51.366999999999997</v>
      </c>
      <c r="J928" s="4">
        <f>51.1781 * CHOOSE(CONTROL!$C$15, $D$11, 100%, $F$11)</f>
        <v>51.178100000000001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69794</v>
      </c>
      <c r="B929" s="8">
        <f>55.3705 * CHOOSE(CONTROL!$C$15, $D$11, 100%, $F$11)</f>
        <v>55.3705</v>
      </c>
      <c r="C929" s="8">
        <f>55.3757 * CHOOSE(CONTROL!$C$15, $D$11, 100%, $F$11)</f>
        <v>55.375700000000002</v>
      </c>
      <c r="D929" s="8">
        <f>55.3581 * CHOOSE( CONTROL!$C$15, $D$11, 100%, $F$11)</f>
        <v>55.3581</v>
      </c>
      <c r="E929" s="12">
        <f>55.364 * CHOOSE( CONTROL!$C$15, $D$11, 100%, $F$11)</f>
        <v>55.363999999999997</v>
      </c>
      <c r="F929" s="4">
        <f>56.021 * CHOOSE(CONTROL!$C$15, $D$11, 100%, $F$11)</f>
        <v>56.021000000000001</v>
      </c>
      <c r="G929" s="8">
        <f>54.0667 * CHOOSE( CONTROL!$C$15, $D$11, 100%, $F$11)</f>
        <v>54.066699999999997</v>
      </c>
      <c r="H929" s="4">
        <f>54.9507 * CHOOSE(CONTROL!$C$15, $D$11, 100%, $F$11)</f>
        <v>54.950699999999998</v>
      </c>
      <c r="I929" s="8">
        <f>53.2838 * CHOOSE(CONTROL!$C$15, $D$11, 100%, $F$11)</f>
        <v>53.283799999999999</v>
      </c>
      <c r="J929" s="4">
        <f>53.134 * CHOOSE(CONTROL!$C$15, $D$11, 100%, $F$11)</f>
        <v>53.134</v>
      </c>
      <c r="K929" s="4"/>
      <c r="L929" s="9">
        <v>29.306000000000001</v>
      </c>
      <c r="M929" s="9">
        <v>12.063700000000001</v>
      </c>
      <c r="N929" s="9">
        <v>4.9444999999999997</v>
      </c>
      <c r="O929" s="9">
        <v>0.37409999999999999</v>
      </c>
      <c r="P929" s="9">
        <v>1.2927</v>
      </c>
      <c r="Q929" s="9">
        <v>19.688099999999999</v>
      </c>
      <c r="R929" s="9"/>
      <c r="S929" s="11"/>
    </row>
    <row r="930" spans="1:19" ht="15.75">
      <c r="A930" s="13">
        <v>69822</v>
      </c>
      <c r="B930" s="8">
        <f>51.7927 * CHOOSE(CONTROL!$C$15, $D$11, 100%, $F$11)</f>
        <v>51.792700000000004</v>
      </c>
      <c r="C930" s="8">
        <f>51.7979 * CHOOSE(CONTROL!$C$15, $D$11, 100%, $F$11)</f>
        <v>51.797899999999998</v>
      </c>
      <c r="D930" s="8">
        <f>51.7803 * CHOOSE( CONTROL!$C$15, $D$11, 100%, $F$11)</f>
        <v>51.780299999999997</v>
      </c>
      <c r="E930" s="12">
        <f>51.7862 * CHOOSE( CONTROL!$C$15, $D$11, 100%, $F$11)</f>
        <v>51.786200000000001</v>
      </c>
      <c r="F930" s="4">
        <f>52.4432 * CHOOSE(CONTROL!$C$15, $D$11, 100%, $F$11)</f>
        <v>52.443199999999997</v>
      </c>
      <c r="G930" s="8">
        <f>50.5722 * CHOOSE( CONTROL!$C$15, $D$11, 100%, $F$11)</f>
        <v>50.572200000000002</v>
      </c>
      <c r="H930" s="4">
        <f>51.4562 * CHOOSE(CONTROL!$C$15, $D$11, 100%, $F$11)</f>
        <v>51.456200000000003</v>
      </c>
      <c r="I930" s="8">
        <f>49.8469 * CHOOSE(CONTROL!$C$15, $D$11, 100%, $F$11)</f>
        <v>49.846899999999998</v>
      </c>
      <c r="J930" s="4">
        <f>49.699 * CHOOSE(CONTROL!$C$15, $D$11, 100%, $F$11)</f>
        <v>49.698999999999998</v>
      </c>
      <c r="K930" s="4"/>
      <c r="L930" s="9">
        <v>26.469899999999999</v>
      </c>
      <c r="M930" s="9">
        <v>10.8962</v>
      </c>
      <c r="N930" s="9">
        <v>4.4660000000000002</v>
      </c>
      <c r="O930" s="9">
        <v>0.33789999999999998</v>
      </c>
      <c r="P930" s="9">
        <v>1.1676</v>
      </c>
      <c r="Q930" s="9">
        <v>17.782800000000002</v>
      </c>
      <c r="R930" s="9"/>
      <c r="S930" s="11"/>
    </row>
    <row r="931" spans="1:19" ht="15.75">
      <c r="A931" s="13">
        <v>69853</v>
      </c>
      <c r="B931" s="8">
        <f>50.6908 * CHOOSE(CONTROL!$C$15, $D$11, 100%, $F$11)</f>
        <v>50.690800000000003</v>
      </c>
      <c r="C931" s="8">
        <f>50.696 * CHOOSE(CONTROL!$C$15, $D$11, 100%, $F$11)</f>
        <v>50.695999999999998</v>
      </c>
      <c r="D931" s="8">
        <f>50.678 * CHOOSE( CONTROL!$C$15, $D$11, 100%, $F$11)</f>
        <v>50.677999999999997</v>
      </c>
      <c r="E931" s="12">
        <f>50.684 * CHOOSE( CONTROL!$C$15, $D$11, 100%, $F$11)</f>
        <v>50.683999999999997</v>
      </c>
      <c r="F931" s="4">
        <f>51.3412 * CHOOSE(CONTROL!$C$15, $D$11, 100%, $F$11)</f>
        <v>51.341200000000001</v>
      </c>
      <c r="G931" s="8">
        <f>49.4957 * CHOOSE( CONTROL!$C$15, $D$11, 100%, $F$11)</f>
        <v>49.495699999999999</v>
      </c>
      <c r="H931" s="4">
        <f>50.38 * CHOOSE(CONTROL!$C$15, $D$11, 100%, $F$11)</f>
        <v>50.38</v>
      </c>
      <c r="I931" s="8">
        <f>48.7872 * CHOOSE(CONTROL!$C$15, $D$11, 100%, $F$11)</f>
        <v>48.787199999999999</v>
      </c>
      <c r="J931" s="4">
        <f>48.641 * CHOOSE(CONTROL!$C$15, $D$11, 100%, $F$11)</f>
        <v>48.640999999999998</v>
      </c>
      <c r="K931" s="4"/>
      <c r="L931" s="9">
        <v>29.306000000000001</v>
      </c>
      <c r="M931" s="9">
        <v>12.063700000000001</v>
      </c>
      <c r="N931" s="9">
        <v>4.9444999999999997</v>
      </c>
      <c r="O931" s="9">
        <v>0.37409999999999999</v>
      </c>
      <c r="P931" s="9">
        <v>1.2927</v>
      </c>
      <c r="Q931" s="9">
        <v>19.688099999999999</v>
      </c>
      <c r="R931" s="9"/>
      <c r="S931" s="11"/>
    </row>
    <row r="932" spans="1:19" ht="15.75">
      <c r="A932" s="13">
        <v>69883</v>
      </c>
      <c r="B932" s="8">
        <f>51.4616 * CHOOSE(CONTROL!$C$15, $D$11, 100%, $F$11)</f>
        <v>51.461599999999997</v>
      </c>
      <c r="C932" s="8">
        <f>51.4662 * CHOOSE(CONTROL!$C$15, $D$11, 100%, $F$11)</f>
        <v>51.466200000000001</v>
      </c>
      <c r="D932" s="8">
        <f>51.4973 * CHOOSE( CONTROL!$C$15, $D$11, 100%, $F$11)</f>
        <v>51.497300000000003</v>
      </c>
      <c r="E932" s="12">
        <f>51.4865 * CHOOSE( CONTROL!$C$15, $D$11, 100%, $F$11)</f>
        <v>51.486499999999999</v>
      </c>
      <c r="F932" s="4">
        <f>52.1753 * CHOOSE(CONTROL!$C$15, $D$11, 100%, $F$11)</f>
        <v>52.1753</v>
      </c>
      <c r="G932" s="8">
        <f>50.2486 * CHOOSE( CONTROL!$C$15, $D$11, 100%, $F$11)</f>
        <v>50.248600000000003</v>
      </c>
      <c r="H932" s="4">
        <f>51.1946 * CHOOSE(CONTROL!$C$15, $D$11, 100%, $F$11)</f>
        <v>51.194600000000001</v>
      </c>
      <c r="I932" s="8">
        <f>49.5174 * CHOOSE(CONTROL!$C$15, $D$11, 100%, $F$11)</f>
        <v>49.517400000000002</v>
      </c>
      <c r="J932" s="4">
        <f>49.3803 * CHOOSE(CONTROL!$C$15, $D$11, 100%, $F$11)</f>
        <v>49.380299999999998</v>
      </c>
      <c r="K932" s="4"/>
      <c r="L932" s="9">
        <v>30.092199999999998</v>
      </c>
      <c r="M932" s="9">
        <v>11.6745</v>
      </c>
      <c r="N932" s="9">
        <v>4.7850000000000001</v>
      </c>
      <c r="O932" s="9">
        <v>0.36199999999999999</v>
      </c>
      <c r="P932" s="9">
        <v>1.1791</v>
      </c>
      <c r="Q932" s="9">
        <v>19.053000000000001</v>
      </c>
      <c r="R932" s="9"/>
      <c r="S932" s="11"/>
    </row>
    <row r="933" spans="1:19" ht="15.75">
      <c r="A933" s="13">
        <v>69914</v>
      </c>
      <c r="B933" s="8">
        <f>CHOOSE( CONTROL!$C$32, 52.8389, 52.8334) * CHOOSE(CONTROL!$C$15, $D$11, 100%, $F$11)</f>
        <v>52.838900000000002</v>
      </c>
      <c r="C933" s="8">
        <f>CHOOSE( CONTROL!$C$32, 52.847, 52.8415) * CHOOSE(CONTROL!$C$15, $D$11, 100%, $F$11)</f>
        <v>52.847000000000001</v>
      </c>
      <c r="D933" s="8">
        <f>CHOOSE( CONTROL!$C$32, 52.873, 52.8674) * CHOOSE( CONTROL!$C$15, $D$11, 100%, $F$11)</f>
        <v>52.872999999999998</v>
      </c>
      <c r="E933" s="12">
        <f>CHOOSE( CONTROL!$C$32, 52.8623, 52.8568) * CHOOSE( CONTROL!$C$15, $D$11, 100%, $F$11)</f>
        <v>52.862299999999998</v>
      </c>
      <c r="F933" s="4">
        <f>CHOOSE( CONTROL!$C$32, 53.5513, 53.5458) * CHOOSE(CONTROL!$C$15, $D$11, 100%, $F$11)</f>
        <v>53.551299999999998</v>
      </c>
      <c r="G933" s="8">
        <f>CHOOSE( CONTROL!$C$32, 51.5937, 51.5883) * CHOOSE( CONTROL!$C$15, $D$11, 100%, $F$11)</f>
        <v>51.593699999999998</v>
      </c>
      <c r="H933" s="4">
        <f>CHOOSE( CONTROL!$C$32, 52.5386, 52.5331) * CHOOSE(CONTROL!$C$15, $D$11, 100%, $F$11)</f>
        <v>52.538600000000002</v>
      </c>
      <c r="I933" s="8">
        <f>CHOOSE( CONTROL!$C$32, 50.8391, 50.8337) * CHOOSE(CONTROL!$C$15, $D$11, 100%, $F$11)</f>
        <v>50.839100000000002</v>
      </c>
      <c r="J933" s="4">
        <f>CHOOSE( CONTROL!$C$32, 50.7014, 50.6961) * CHOOSE(CONTROL!$C$15, $D$11, 100%, $F$11)</f>
        <v>50.7014</v>
      </c>
      <c r="K933" s="4"/>
      <c r="L933" s="9">
        <v>30.7165</v>
      </c>
      <c r="M933" s="9">
        <v>12.063700000000001</v>
      </c>
      <c r="N933" s="9">
        <v>4.9444999999999997</v>
      </c>
      <c r="O933" s="9">
        <v>0.37409999999999999</v>
      </c>
      <c r="P933" s="9">
        <v>1.2183999999999999</v>
      </c>
      <c r="Q933" s="9">
        <v>19.688099999999999</v>
      </c>
      <c r="R933" s="9"/>
      <c r="S933" s="11"/>
    </row>
    <row r="934" spans="1:19" ht="15.75">
      <c r="A934" s="13">
        <v>69944</v>
      </c>
      <c r="B934" s="8">
        <f>CHOOSE( CONTROL!$C$32, 51.99, 51.9844) * CHOOSE(CONTROL!$C$15, $D$11, 100%, $F$11)</f>
        <v>51.99</v>
      </c>
      <c r="C934" s="8">
        <f>CHOOSE( CONTROL!$C$32, 51.9981, 51.9925) * CHOOSE(CONTROL!$C$15, $D$11, 100%, $F$11)</f>
        <v>51.998100000000001</v>
      </c>
      <c r="D934" s="8">
        <f>CHOOSE( CONTROL!$C$32, 52.0242, 52.0187) * CHOOSE( CONTROL!$C$15, $D$11, 100%, $F$11)</f>
        <v>52.0242</v>
      </c>
      <c r="E934" s="12">
        <f>CHOOSE( CONTROL!$C$32, 52.0135, 52.008) * CHOOSE( CONTROL!$C$15, $D$11, 100%, $F$11)</f>
        <v>52.013500000000001</v>
      </c>
      <c r="F934" s="4">
        <f>CHOOSE( CONTROL!$C$32, 52.7024, 52.6968) * CHOOSE(CONTROL!$C$15, $D$11, 100%, $F$11)</f>
        <v>52.702399999999997</v>
      </c>
      <c r="G934" s="8">
        <f>CHOOSE( CONTROL!$C$32, 50.7648, 50.7593) * CHOOSE( CONTROL!$C$15, $D$11, 100%, $F$11)</f>
        <v>50.764800000000001</v>
      </c>
      <c r="H934" s="4">
        <f>CHOOSE( CONTROL!$C$32, 51.7094, 51.704) * CHOOSE(CONTROL!$C$15, $D$11, 100%, $F$11)</f>
        <v>51.709400000000002</v>
      </c>
      <c r="I934" s="8">
        <f>CHOOSE( CONTROL!$C$32, 50.0244, 50.0191) * CHOOSE(CONTROL!$C$15, $D$11, 100%, $F$11)</f>
        <v>50.0244</v>
      </c>
      <c r="J934" s="4">
        <f>CHOOSE( CONTROL!$C$32, 49.8864, 49.881) * CHOOSE(CONTROL!$C$15, $D$11, 100%, $F$11)</f>
        <v>49.886400000000002</v>
      </c>
      <c r="K934" s="4"/>
      <c r="L934" s="9">
        <v>29.7257</v>
      </c>
      <c r="M934" s="9">
        <v>11.6745</v>
      </c>
      <c r="N934" s="9">
        <v>4.7850000000000001</v>
      </c>
      <c r="O934" s="9">
        <v>0.36199999999999999</v>
      </c>
      <c r="P934" s="9">
        <v>1.1791</v>
      </c>
      <c r="Q934" s="9">
        <v>19.053000000000001</v>
      </c>
      <c r="R934" s="9"/>
      <c r="S934" s="11"/>
    </row>
    <row r="935" spans="1:19" ht="15.75">
      <c r="A935" s="13">
        <v>69975</v>
      </c>
      <c r="B935" s="8">
        <f>CHOOSE( CONTROL!$C$32, 54.2256, 54.22) * CHOOSE(CONTROL!$C$15, $D$11, 100%, $F$11)</f>
        <v>54.2256</v>
      </c>
      <c r="C935" s="8">
        <f>CHOOSE( CONTROL!$C$32, 54.2337, 54.2281) * CHOOSE(CONTROL!$C$15, $D$11, 100%, $F$11)</f>
        <v>54.233699999999999</v>
      </c>
      <c r="D935" s="8">
        <f>CHOOSE( CONTROL!$C$32, 54.26, 54.2544) * CHOOSE( CONTROL!$C$15, $D$11, 100%, $F$11)</f>
        <v>54.26</v>
      </c>
      <c r="E935" s="12">
        <f>CHOOSE( CONTROL!$C$32, 54.2492, 54.2436) * CHOOSE( CONTROL!$C$15, $D$11, 100%, $F$11)</f>
        <v>54.249200000000002</v>
      </c>
      <c r="F935" s="4">
        <f>CHOOSE( CONTROL!$C$32, 54.938, 54.9324) * CHOOSE(CONTROL!$C$15, $D$11, 100%, $F$11)</f>
        <v>54.938000000000002</v>
      </c>
      <c r="G935" s="8">
        <f>CHOOSE( CONTROL!$C$32, 52.9486, 52.9432) * CHOOSE( CONTROL!$C$15, $D$11, 100%, $F$11)</f>
        <v>52.948599999999999</v>
      </c>
      <c r="H935" s="4">
        <f>CHOOSE( CONTROL!$C$32, 53.8929, 53.8875) * CHOOSE(CONTROL!$C$15, $D$11, 100%, $F$11)</f>
        <v>53.892899999999997</v>
      </c>
      <c r="I935" s="8">
        <f>CHOOSE( CONTROL!$C$32, 52.1728, 52.1675) * CHOOSE(CONTROL!$C$15, $D$11, 100%, $F$11)</f>
        <v>52.172800000000002</v>
      </c>
      <c r="J935" s="4">
        <f>CHOOSE( CONTROL!$C$32, 52.0328, 52.0274) * CHOOSE(CONTROL!$C$15, $D$11, 100%, $F$11)</f>
        <v>52.032800000000002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1.2183999999999999</v>
      </c>
      <c r="Q935" s="9">
        <v>19.688099999999999</v>
      </c>
      <c r="R935" s="9"/>
      <c r="S935" s="11"/>
    </row>
    <row r="936" spans="1:19" ht="15.75">
      <c r="A936" s="13">
        <v>70006</v>
      </c>
      <c r="B936" s="8">
        <f>CHOOSE( CONTROL!$C$32, 50.0426, 50.037) * CHOOSE(CONTROL!$C$15, $D$11, 100%, $F$11)</f>
        <v>50.0426</v>
      </c>
      <c r="C936" s="8">
        <f>CHOOSE( CONTROL!$C$32, 50.0506, 50.0451) * CHOOSE(CONTROL!$C$15, $D$11, 100%, $F$11)</f>
        <v>50.050600000000003</v>
      </c>
      <c r="D936" s="8">
        <f>CHOOSE( CONTROL!$C$32, 50.077, 50.0715) * CHOOSE( CONTROL!$C$15, $D$11, 100%, $F$11)</f>
        <v>50.076999999999998</v>
      </c>
      <c r="E936" s="12">
        <f>CHOOSE( CONTROL!$C$32, 50.0662, 50.0607) * CHOOSE( CONTROL!$C$15, $D$11, 100%, $F$11)</f>
        <v>50.066200000000002</v>
      </c>
      <c r="F936" s="4">
        <f>CHOOSE( CONTROL!$C$32, 50.7549, 50.7494) * CHOOSE(CONTROL!$C$15, $D$11, 100%, $F$11)</f>
        <v>50.754899999999999</v>
      </c>
      <c r="G936" s="8">
        <f>CHOOSE( CONTROL!$C$32, 48.8631, 48.8577) * CHOOSE( CONTROL!$C$15, $D$11, 100%, $F$11)</f>
        <v>48.863100000000003</v>
      </c>
      <c r="H936" s="4">
        <f>CHOOSE( CONTROL!$C$32, 49.8073, 49.8019) * CHOOSE(CONTROL!$C$15, $D$11, 100%, $F$11)</f>
        <v>49.807299999999998</v>
      </c>
      <c r="I936" s="8">
        <f>CHOOSE( CONTROL!$C$32, 48.155, 48.1496) * CHOOSE(CONTROL!$C$15, $D$11, 100%, $F$11)</f>
        <v>48.155000000000001</v>
      </c>
      <c r="J936" s="4">
        <f>CHOOSE( CONTROL!$C$32, 48.0166, 48.0113) * CHOOSE(CONTROL!$C$15, $D$11, 100%, $F$11)</f>
        <v>48.016599999999997</v>
      </c>
      <c r="K936" s="4"/>
      <c r="L936" s="9">
        <v>30.7165</v>
      </c>
      <c r="M936" s="9">
        <v>12.063700000000001</v>
      </c>
      <c r="N936" s="9">
        <v>4.9444999999999997</v>
      </c>
      <c r="O936" s="9">
        <v>0.37409999999999999</v>
      </c>
      <c r="P936" s="9">
        <v>1.2183999999999999</v>
      </c>
      <c r="Q936" s="9">
        <v>19.688099999999999</v>
      </c>
      <c r="R936" s="9"/>
      <c r="S936" s="11"/>
    </row>
    <row r="937" spans="1:19" ht="15.75">
      <c r="A937" s="13">
        <v>70036</v>
      </c>
      <c r="B937" s="8">
        <f>CHOOSE( CONTROL!$C$32, 48.9951, 48.9895) * CHOOSE(CONTROL!$C$15, $D$11, 100%, $F$11)</f>
        <v>48.995100000000001</v>
      </c>
      <c r="C937" s="8">
        <f>CHOOSE( CONTROL!$C$32, 49.0032, 48.9976) * CHOOSE(CONTROL!$C$15, $D$11, 100%, $F$11)</f>
        <v>49.0032</v>
      </c>
      <c r="D937" s="8">
        <f>CHOOSE( CONTROL!$C$32, 49.0295, 49.0239) * CHOOSE( CONTROL!$C$15, $D$11, 100%, $F$11)</f>
        <v>49.029499999999999</v>
      </c>
      <c r="E937" s="12">
        <f>CHOOSE( CONTROL!$C$32, 49.0187, 49.0131) * CHOOSE( CONTROL!$C$15, $D$11, 100%, $F$11)</f>
        <v>49.018700000000003</v>
      </c>
      <c r="F937" s="4">
        <f>CHOOSE( CONTROL!$C$32, 49.7075, 49.7019) * CHOOSE(CONTROL!$C$15, $D$11, 100%, $F$11)</f>
        <v>49.707500000000003</v>
      </c>
      <c r="G937" s="8">
        <f>CHOOSE( CONTROL!$C$32, 47.8399, 47.8345) * CHOOSE( CONTROL!$C$15, $D$11, 100%, $F$11)</f>
        <v>47.8399</v>
      </c>
      <c r="H937" s="4">
        <f>CHOOSE( CONTROL!$C$32, 48.7842, 48.7788) * CHOOSE(CONTROL!$C$15, $D$11, 100%, $F$11)</f>
        <v>48.784199999999998</v>
      </c>
      <c r="I937" s="8">
        <f>CHOOSE( CONTROL!$C$32, 47.1485, 47.1432) * CHOOSE(CONTROL!$C$15, $D$11, 100%, $F$11)</f>
        <v>47.148499999999999</v>
      </c>
      <c r="J937" s="4">
        <f>CHOOSE( CONTROL!$C$32, 47.0109, 47.0056) * CHOOSE(CONTROL!$C$15, $D$11, 100%, $F$11)</f>
        <v>47.010899999999999</v>
      </c>
      <c r="K937" s="4"/>
      <c r="L937" s="9">
        <v>29.7257</v>
      </c>
      <c r="M937" s="9">
        <v>11.6745</v>
      </c>
      <c r="N937" s="9">
        <v>4.7850000000000001</v>
      </c>
      <c r="O937" s="9">
        <v>0.36199999999999999</v>
      </c>
      <c r="P937" s="9">
        <v>1.1791</v>
      </c>
      <c r="Q937" s="9">
        <v>19.053000000000001</v>
      </c>
      <c r="R937" s="9"/>
      <c r="S937" s="11"/>
    </row>
    <row r="938" spans="1:19" ht="15.75">
      <c r="A938" s="13">
        <v>70067</v>
      </c>
      <c r="B938" s="8">
        <f>51.1627 * CHOOSE(CONTROL!$C$15, $D$11, 100%, $F$11)</f>
        <v>51.162700000000001</v>
      </c>
      <c r="C938" s="8">
        <f>51.1682 * CHOOSE(CONTROL!$C$15, $D$11, 100%, $F$11)</f>
        <v>51.168199999999999</v>
      </c>
      <c r="D938" s="8">
        <f>51.1993 * CHOOSE( CONTROL!$C$15, $D$11, 100%, $F$11)</f>
        <v>51.199300000000001</v>
      </c>
      <c r="E938" s="12">
        <f>51.1884 * CHOOSE( CONTROL!$C$15, $D$11, 100%, $F$11)</f>
        <v>51.188400000000001</v>
      </c>
      <c r="F938" s="4">
        <f>51.8768 * CHOOSE(CONTROL!$C$15, $D$11, 100%, $F$11)</f>
        <v>51.876800000000003</v>
      </c>
      <c r="G938" s="8">
        <f>49.9579 * CHOOSE( CONTROL!$C$15, $D$11, 100%, $F$11)</f>
        <v>49.957900000000002</v>
      </c>
      <c r="H938" s="4">
        <f>50.9031 * CHOOSE(CONTROL!$C$15, $D$11, 100%, $F$11)</f>
        <v>50.903100000000002</v>
      </c>
      <c r="I938" s="8">
        <f>49.2333 * CHOOSE(CONTROL!$C$15, $D$11, 100%, $F$11)</f>
        <v>49.2333</v>
      </c>
      <c r="J938" s="4">
        <f>49.0938 * CHOOSE(CONTROL!$C$15, $D$11, 100%, $F$11)</f>
        <v>49.093800000000002</v>
      </c>
      <c r="K938" s="4"/>
      <c r="L938" s="9">
        <v>31.095300000000002</v>
      </c>
      <c r="M938" s="9">
        <v>12.063700000000001</v>
      </c>
      <c r="N938" s="9">
        <v>4.9444999999999997</v>
      </c>
      <c r="O938" s="9">
        <v>0.37409999999999999</v>
      </c>
      <c r="P938" s="9">
        <v>1.2183999999999999</v>
      </c>
      <c r="Q938" s="9">
        <v>19.688099999999999</v>
      </c>
      <c r="R938" s="9"/>
      <c r="S938" s="11"/>
    </row>
    <row r="939" spans="1:19" ht="15.75">
      <c r="A939" s="13">
        <v>70097</v>
      </c>
      <c r="B939" s="8">
        <f>55.1768 * CHOOSE(CONTROL!$C$15, $D$11, 100%, $F$11)</f>
        <v>55.1768</v>
      </c>
      <c r="C939" s="8">
        <f>55.182 * CHOOSE(CONTROL!$C$15, $D$11, 100%, $F$11)</f>
        <v>55.182000000000002</v>
      </c>
      <c r="D939" s="8">
        <f>55.1682 * CHOOSE( CONTROL!$C$15, $D$11, 100%, $F$11)</f>
        <v>55.168199999999999</v>
      </c>
      <c r="E939" s="12">
        <f>55.1727 * CHOOSE( CONTROL!$C$15, $D$11, 100%, $F$11)</f>
        <v>55.172699999999999</v>
      </c>
      <c r="F939" s="4">
        <f>55.8273 * CHOOSE(CONTROL!$C$15, $D$11, 100%, $F$11)</f>
        <v>55.827300000000001</v>
      </c>
      <c r="G939" s="8">
        <f>53.8865 * CHOOSE( CONTROL!$C$15, $D$11, 100%, $F$11)</f>
        <v>53.886499999999998</v>
      </c>
      <c r="H939" s="4">
        <f>54.7615 * CHOOSE(CONTROL!$C$15, $D$11, 100%, $F$11)</f>
        <v>54.761499999999998</v>
      </c>
      <c r="I939" s="8">
        <f>53.1331 * CHOOSE(CONTROL!$C$15, $D$11, 100%, $F$11)</f>
        <v>53.133099999999999</v>
      </c>
      <c r="J939" s="4">
        <f>52.9481 * CHOOSE(CONTROL!$C$15, $D$11, 100%, $F$11)</f>
        <v>52.948099999999997</v>
      </c>
      <c r="K939" s="4"/>
      <c r="L939" s="9">
        <v>28.360600000000002</v>
      </c>
      <c r="M939" s="9">
        <v>11.6745</v>
      </c>
      <c r="N939" s="9">
        <v>4.7850000000000001</v>
      </c>
      <c r="O939" s="9">
        <v>0.36199999999999999</v>
      </c>
      <c r="P939" s="9">
        <v>1.2509999999999999</v>
      </c>
      <c r="Q939" s="9">
        <v>19.053000000000001</v>
      </c>
      <c r="R939" s="9"/>
      <c r="S939" s="11"/>
    </row>
    <row r="940" spans="1:19" ht="15.75">
      <c r="A940" s="13">
        <v>70128</v>
      </c>
      <c r="B940" s="8">
        <f>55.0765 * CHOOSE(CONTROL!$C$15, $D$11, 100%, $F$11)</f>
        <v>55.076500000000003</v>
      </c>
      <c r="C940" s="8">
        <f>55.0817 * CHOOSE(CONTROL!$C$15, $D$11, 100%, $F$11)</f>
        <v>55.081699999999998</v>
      </c>
      <c r="D940" s="8">
        <f>55.0694 * CHOOSE( CONTROL!$C$15, $D$11, 100%, $F$11)</f>
        <v>55.069400000000002</v>
      </c>
      <c r="E940" s="12">
        <f>55.0733 * CHOOSE( CONTROL!$C$15, $D$11, 100%, $F$11)</f>
        <v>55.073300000000003</v>
      </c>
      <c r="F940" s="4">
        <f>55.727 * CHOOSE(CONTROL!$C$15, $D$11, 100%, $F$11)</f>
        <v>55.726999999999997</v>
      </c>
      <c r="G940" s="8">
        <f>53.7896 * CHOOSE( CONTROL!$C$15, $D$11, 100%, $F$11)</f>
        <v>53.7896</v>
      </c>
      <c r="H940" s="4">
        <f>54.6635 * CHOOSE(CONTROL!$C$15, $D$11, 100%, $F$11)</f>
        <v>54.663499999999999</v>
      </c>
      <c r="I940" s="8">
        <f>53.0415 * CHOOSE(CONTROL!$C$15, $D$11, 100%, $F$11)</f>
        <v>53.041499999999999</v>
      </c>
      <c r="J940" s="4">
        <f>52.8518 * CHOOSE(CONTROL!$C$15, $D$11, 100%, $F$11)</f>
        <v>52.851799999999997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70159</v>
      </c>
      <c r="B941" s="8">
        <f>57.1804 * CHOOSE(CONTROL!$C$15, $D$11, 100%, $F$11)</f>
        <v>57.180399999999999</v>
      </c>
      <c r="C941" s="8">
        <f>57.1856 * CHOOSE(CONTROL!$C$15, $D$11, 100%, $F$11)</f>
        <v>57.185600000000001</v>
      </c>
      <c r="D941" s="8">
        <f>57.168 * CHOOSE( CONTROL!$C$15, $D$11, 100%, $F$11)</f>
        <v>57.167999999999999</v>
      </c>
      <c r="E941" s="12">
        <f>57.1739 * CHOOSE( CONTROL!$C$15, $D$11, 100%, $F$11)</f>
        <v>57.173900000000003</v>
      </c>
      <c r="F941" s="4">
        <f>57.8309 * CHOOSE(CONTROL!$C$15, $D$11, 100%, $F$11)</f>
        <v>57.8309</v>
      </c>
      <c r="G941" s="8">
        <f>55.8344 * CHOOSE( CONTROL!$C$15, $D$11, 100%, $F$11)</f>
        <v>55.834400000000002</v>
      </c>
      <c r="H941" s="4">
        <f>56.7184 * CHOOSE(CONTROL!$C$15, $D$11, 100%, $F$11)</f>
        <v>56.718400000000003</v>
      </c>
      <c r="I941" s="8">
        <f>55.0224 * CHOOSE(CONTROL!$C$15, $D$11, 100%, $F$11)</f>
        <v>55.022399999999998</v>
      </c>
      <c r="J941" s="4">
        <f>54.8717 * CHOOSE(CONTROL!$C$15, $D$11, 100%, $F$11)</f>
        <v>54.871699999999997</v>
      </c>
      <c r="K941" s="4"/>
      <c r="L941" s="9">
        <v>29.306000000000001</v>
      </c>
      <c r="M941" s="9">
        <v>12.063700000000001</v>
      </c>
      <c r="N941" s="9">
        <v>4.9444999999999997</v>
      </c>
      <c r="O941" s="9">
        <v>0.37409999999999999</v>
      </c>
      <c r="P941" s="9">
        <v>1.2927</v>
      </c>
      <c r="Q941" s="9">
        <v>19.688099999999999</v>
      </c>
      <c r="R941" s="9"/>
      <c r="S941" s="11"/>
    </row>
    <row r="942" spans="1:19" ht="15.75">
      <c r="A942" s="13">
        <v>70188</v>
      </c>
      <c r="B942" s="8">
        <f>53.4856 * CHOOSE(CONTROL!$C$15, $D$11, 100%, $F$11)</f>
        <v>53.485599999999998</v>
      </c>
      <c r="C942" s="8">
        <f>53.4908 * CHOOSE(CONTROL!$C$15, $D$11, 100%, $F$11)</f>
        <v>53.4908</v>
      </c>
      <c r="D942" s="8">
        <f>53.4732 * CHOOSE( CONTROL!$C$15, $D$11, 100%, $F$11)</f>
        <v>53.473199999999999</v>
      </c>
      <c r="E942" s="12">
        <f>53.4791 * CHOOSE( CONTROL!$C$15, $D$11, 100%, $F$11)</f>
        <v>53.479100000000003</v>
      </c>
      <c r="F942" s="4">
        <f>54.1361 * CHOOSE(CONTROL!$C$15, $D$11, 100%, $F$11)</f>
        <v>54.136099999999999</v>
      </c>
      <c r="G942" s="8">
        <f>52.2257 * CHOOSE( CONTROL!$C$15, $D$11, 100%, $F$11)</f>
        <v>52.225700000000003</v>
      </c>
      <c r="H942" s="4">
        <f>53.1097 * CHOOSE(CONTROL!$C$15, $D$11, 100%, $F$11)</f>
        <v>53.109699999999997</v>
      </c>
      <c r="I942" s="8">
        <f>51.473 * CHOOSE(CONTROL!$C$15, $D$11, 100%, $F$11)</f>
        <v>51.472999999999999</v>
      </c>
      <c r="J942" s="4">
        <f>51.3244 * CHOOSE(CONTROL!$C$15, $D$11, 100%, $F$11)</f>
        <v>51.324399999999997</v>
      </c>
      <c r="K942" s="4"/>
      <c r="L942" s="9">
        <v>27.415299999999998</v>
      </c>
      <c r="M942" s="9">
        <v>11.285299999999999</v>
      </c>
      <c r="N942" s="9">
        <v>4.6254999999999997</v>
      </c>
      <c r="O942" s="9">
        <v>0.34989999999999999</v>
      </c>
      <c r="P942" s="9">
        <v>1.2093</v>
      </c>
      <c r="Q942" s="9">
        <v>18.417899999999999</v>
      </c>
      <c r="R942" s="9"/>
      <c r="S942" s="11"/>
    </row>
    <row r="943" spans="1:19" ht="15.75">
      <c r="A943" s="13">
        <v>70219</v>
      </c>
      <c r="B943" s="8">
        <f>52.3476 * CHOOSE(CONTROL!$C$15, $D$11, 100%, $F$11)</f>
        <v>52.3476</v>
      </c>
      <c r="C943" s="8">
        <f>52.3528 * CHOOSE(CONTROL!$C$15, $D$11, 100%, $F$11)</f>
        <v>52.352800000000002</v>
      </c>
      <c r="D943" s="8">
        <f>52.3348 * CHOOSE( CONTROL!$C$15, $D$11, 100%, $F$11)</f>
        <v>52.334800000000001</v>
      </c>
      <c r="E943" s="12">
        <f>52.3408 * CHOOSE( CONTROL!$C$15, $D$11, 100%, $F$11)</f>
        <v>52.340800000000002</v>
      </c>
      <c r="F943" s="4">
        <f>52.9981 * CHOOSE(CONTROL!$C$15, $D$11, 100%, $F$11)</f>
        <v>52.998100000000001</v>
      </c>
      <c r="G943" s="8">
        <f>51.114 * CHOOSE( CONTROL!$C$15, $D$11, 100%, $F$11)</f>
        <v>51.113999999999997</v>
      </c>
      <c r="H943" s="4">
        <f>51.9982 * CHOOSE(CONTROL!$C$15, $D$11, 100%, $F$11)</f>
        <v>51.998199999999997</v>
      </c>
      <c r="I943" s="8">
        <f>50.3787 * CHOOSE(CONTROL!$C$15, $D$11, 100%, $F$11)</f>
        <v>50.378700000000002</v>
      </c>
      <c r="J943" s="4">
        <f>50.2318 * CHOOSE(CONTROL!$C$15, $D$11, 100%, $F$11)</f>
        <v>50.2318</v>
      </c>
      <c r="K943" s="4"/>
      <c r="L943" s="9">
        <v>29.306000000000001</v>
      </c>
      <c r="M943" s="9">
        <v>12.063700000000001</v>
      </c>
      <c r="N943" s="9">
        <v>4.9444999999999997</v>
      </c>
      <c r="O943" s="9">
        <v>0.37409999999999999</v>
      </c>
      <c r="P943" s="9">
        <v>1.2927</v>
      </c>
      <c r="Q943" s="9">
        <v>19.688099999999999</v>
      </c>
      <c r="R943" s="9"/>
      <c r="S943" s="11"/>
    </row>
    <row r="944" spans="1:19" ht="15.75">
      <c r="A944" s="13">
        <v>70249</v>
      </c>
      <c r="B944" s="8">
        <f>53.1436 * CHOOSE(CONTROL!$C$15, $D$11, 100%, $F$11)</f>
        <v>53.143599999999999</v>
      </c>
      <c r="C944" s="8">
        <f>53.1482 * CHOOSE(CONTROL!$C$15, $D$11, 100%, $F$11)</f>
        <v>53.148200000000003</v>
      </c>
      <c r="D944" s="8">
        <f>53.1793 * CHOOSE( CONTROL!$C$15, $D$11, 100%, $F$11)</f>
        <v>53.179299999999998</v>
      </c>
      <c r="E944" s="12">
        <f>53.1685 * CHOOSE( CONTROL!$C$15, $D$11, 100%, $F$11)</f>
        <v>53.168500000000002</v>
      </c>
      <c r="F944" s="4">
        <f>53.8574 * CHOOSE(CONTROL!$C$15, $D$11, 100%, $F$11)</f>
        <v>53.857399999999998</v>
      </c>
      <c r="G944" s="8">
        <f>51.8915 * CHOOSE( CONTROL!$C$15, $D$11, 100%, $F$11)</f>
        <v>51.891500000000001</v>
      </c>
      <c r="H944" s="4">
        <f>52.8375 * CHOOSE(CONTROL!$C$15, $D$11, 100%, $F$11)</f>
        <v>52.837499999999999</v>
      </c>
      <c r="I944" s="8">
        <f>51.1331 * CHOOSE(CONTROL!$C$15, $D$11, 100%, $F$11)</f>
        <v>51.133099999999999</v>
      </c>
      <c r="J944" s="4">
        <f>50.9953 * CHOOSE(CONTROL!$C$15, $D$11, 100%, $F$11)</f>
        <v>50.9953</v>
      </c>
      <c r="K944" s="4"/>
      <c r="L944" s="9">
        <v>30.092199999999998</v>
      </c>
      <c r="M944" s="9">
        <v>11.6745</v>
      </c>
      <c r="N944" s="9">
        <v>4.7850000000000001</v>
      </c>
      <c r="O944" s="9">
        <v>0.36199999999999999</v>
      </c>
      <c r="P944" s="9">
        <v>1.1791</v>
      </c>
      <c r="Q944" s="9">
        <v>19.053000000000001</v>
      </c>
      <c r="R944" s="9"/>
      <c r="S944" s="11"/>
    </row>
    <row r="945" spans="1:19" ht="15.75">
      <c r="A945" s="13">
        <v>70280</v>
      </c>
      <c r="B945" s="8">
        <f>CHOOSE( CONTROL!$C$32, 54.5658, 54.5602) * CHOOSE(CONTROL!$C$15, $D$11, 100%, $F$11)</f>
        <v>54.565800000000003</v>
      </c>
      <c r="C945" s="8">
        <f>CHOOSE( CONTROL!$C$32, 54.5739, 54.5683) * CHOOSE(CONTROL!$C$15, $D$11, 100%, $F$11)</f>
        <v>54.573900000000002</v>
      </c>
      <c r="D945" s="8">
        <f>CHOOSE( CONTROL!$C$32, 54.5999, 54.5943) * CHOOSE( CONTROL!$C$15, $D$11, 100%, $F$11)</f>
        <v>54.599899999999998</v>
      </c>
      <c r="E945" s="12">
        <f>CHOOSE( CONTROL!$C$32, 54.5892, 54.5836) * CHOOSE( CONTROL!$C$15, $D$11, 100%, $F$11)</f>
        <v>54.589199999999998</v>
      </c>
      <c r="F945" s="4">
        <f>CHOOSE( CONTROL!$C$32, 55.2782, 55.2726) * CHOOSE(CONTROL!$C$15, $D$11, 100%, $F$11)</f>
        <v>55.278199999999998</v>
      </c>
      <c r="G945" s="8">
        <f>CHOOSE( CONTROL!$C$32, 53.2803, 53.2749) * CHOOSE( CONTROL!$C$15, $D$11, 100%, $F$11)</f>
        <v>53.280299999999997</v>
      </c>
      <c r="H945" s="4">
        <f>CHOOSE( CONTROL!$C$32, 54.2252, 54.2197) * CHOOSE(CONTROL!$C$15, $D$11, 100%, $F$11)</f>
        <v>54.225200000000001</v>
      </c>
      <c r="I945" s="8">
        <f>CHOOSE( CONTROL!$C$32, 52.4979, 52.4925) * CHOOSE(CONTROL!$C$15, $D$11, 100%, $F$11)</f>
        <v>52.497900000000001</v>
      </c>
      <c r="J945" s="4">
        <f>CHOOSE( CONTROL!$C$32, 52.3594, 52.3541) * CHOOSE(CONTROL!$C$15, $D$11, 100%, $F$11)</f>
        <v>52.359400000000001</v>
      </c>
      <c r="K945" s="4"/>
      <c r="L945" s="9">
        <v>30.7165</v>
      </c>
      <c r="M945" s="9">
        <v>12.063700000000001</v>
      </c>
      <c r="N945" s="9">
        <v>4.9444999999999997</v>
      </c>
      <c r="O945" s="9">
        <v>0.37409999999999999</v>
      </c>
      <c r="P945" s="9">
        <v>1.2183999999999999</v>
      </c>
      <c r="Q945" s="9">
        <v>19.688099999999999</v>
      </c>
      <c r="R945" s="9"/>
      <c r="S945" s="11"/>
    </row>
    <row r="946" spans="1:19" ht="15.75">
      <c r="A946" s="13">
        <v>70310</v>
      </c>
      <c r="B946" s="8">
        <f>CHOOSE( CONTROL!$C$32, 53.6891, 53.6835) * CHOOSE(CONTROL!$C$15, $D$11, 100%, $F$11)</f>
        <v>53.689100000000003</v>
      </c>
      <c r="C946" s="8">
        <f>CHOOSE( CONTROL!$C$32, 53.6972, 53.6916) * CHOOSE(CONTROL!$C$15, $D$11, 100%, $F$11)</f>
        <v>53.697200000000002</v>
      </c>
      <c r="D946" s="8">
        <f>CHOOSE( CONTROL!$C$32, 53.7233, 53.7177) * CHOOSE( CONTROL!$C$15, $D$11, 100%, $F$11)</f>
        <v>53.723300000000002</v>
      </c>
      <c r="E946" s="12">
        <f>CHOOSE( CONTROL!$C$32, 53.7126, 53.707) * CHOOSE( CONTROL!$C$15, $D$11, 100%, $F$11)</f>
        <v>53.712600000000002</v>
      </c>
      <c r="F946" s="4">
        <f>CHOOSE( CONTROL!$C$32, 54.4015, 54.3959) * CHOOSE(CONTROL!$C$15, $D$11, 100%, $F$11)</f>
        <v>54.401499999999999</v>
      </c>
      <c r="G946" s="8">
        <f>CHOOSE( CONTROL!$C$32, 52.4243, 52.4189) * CHOOSE( CONTROL!$C$15, $D$11, 100%, $F$11)</f>
        <v>52.424300000000002</v>
      </c>
      <c r="H946" s="4">
        <f>CHOOSE( CONTROL!$C$32, 53.3689, 53.3635) * CHOOSE(CONTROL!$C$15, $D$11, 100%, $F$11)</f>
        <v>53.368899999999996</v>
      </c>
      <c r="I946" s="8">
        <f>CHOOSE( CONTROL!$C$32, 51.6565, 51.6512) * CHOOSE(CONTROL!$C$15, $D$11, 100%, $F$11)</f>
        <v>51.656500000000001</v>
      </c>
      <c r="J946" s="4">
        <f>CHOOSE( CONTROL!$C$32, 51.5177, 51.5123) * CHOOSE(CONTROL!$C$15, $D$11, 100%, $F$11)</f>
        <v>51.517699999999998</v>
      </c>
      <c r="K946" s="4"/>
      <c r="L946" s="9">
        <v>29.7257</v>
      </c>
      <c r="M946" s="9">
        <v>11.6745</v>
      </c>
      <c r="N946" s="9">
        <v>4.7850000000000001</v>
      </c>
      <c r="O946" s="9">
        <v>0.36199999999999999</v>
      </c>
      <c r="P946" s="9">
        <v>1.1791</v>
      </c>
      <c r="Q946" s="9">
        <v>19.053000000000001</v>
      </c>
      <c r="R946" s="9"/>
      <c r="S946" s="11"/>
    </row>
    <row r="947" spans="1:19" ht="15.75">
      <c r="A947" s="13">
        <v>70341</v>
      </c>
      <c r="B947" s="8">
        <f>CHOOSE( CONTROL!$C$32, 55.9978, 55.9922) * CHOOSE(CONTROL!$C$15, $D$11, 100%, $F$11)</f>
        <v>55.997799999999998</v>
      </c>
      <c r="C947" s="8">
        <f>CHOOSE( CONTROL!$C$32, 56.0059, 56.0003) * CHOOSE(CONTROL!$C$15, $D$11, 100%, $F$11)</f>
        <v>56.005899999999997</v>
      </c>
      <c r="D947" s="8">
        <f>CHOOSE( CONTROL!$C$32, 56.0322, 56.0267) * CHOOSE( CONTROL!$C$15, $D$11, 100%, $F$11)</f>
        <v>56.032200000000003</v>
      </c>
      <c r="E947" s="12">
        <f>CHOOSE( CONTROL!$C$32, 56.0214, 56.0159) * CHOOSE( CONTROL!$C$15, $D$11, 100%, $F$11)</f>
        <v>56.0214</v>
      </c>
      <c r="F947" s="4">
        <f>CHOOSE( CONTROL!$C$32, 56.7102, 56.7046) * CHOOSE(CONTROL!$C$15, $D$11, 100%, $F$11)</f>
        <v>56.7102</v>
      </c>
      <c r="G947" s="8">
        <f>CHOOSE( CONTROL!$C$32, 54.6795, 54.6741) * CHOOSE( CONTROL!$C$15, $D$11, 100%, $F$11)</f>
        <v>54.679499999999997</v>
      </c>
      <c r="H947" s="4">
        <f>CHOOSE( CONTROL!$C$32, 55.6238, 55.6184) * CHOOSE(CONTROL!$C$15, $D$11, 100%, $F$11)</f>
        <v>55.623800000000003</v>
      </c>
      <c r="I947" s="8">
        <f>CHOOSE( CONTROL!$C$32, 53.8752, 53.8698) * CHOOSE(CONTROL!$C$15, $D$11, 100%, $F$11)</f>
        <v>53.8752</v>
      </c>
      <c r="J947" s="4">
        <f>CHOOSE( CONTROL!$C$32, 53.7343, 53.7289) * CHOOSE(CONTROL!$C$15, $D$11, 100%, $F$11)</f>
        <v>53.734299999999998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1.2183999999999999</v>
      </c>
      <c r="Q947" s="9">
        <v>19.688099999999999</v>
      </c>
      <c r="R947" s="9"/>
      <c r="S947" s="11"/>
    </row>
    <row r="948" spans="1:19" ht="15.75">
      <c r="A948" s="13">
        <v>70372</v>
      </c>
      <c r="B948" s="8">
        <f>CHOOSE( CONTROL!$C$32, 51.678, 51.6724) * CHOOSE(CONTROL!$C$15, $D$11, 100%, $F$11)</f>
        <v>51.677999999999997</v>
      </c>
      <c r="C948" s="8">
        <f>CHOOSE( CONTROL!$C$32, 51.686, 51.6805) * CHOOSE(CONTROL!$C$15, $D$11, 100%, $F$11)</f>
        <v>51.686</v>
      </c>
      <c r="D948" s="8">
        <f>CHOOSE( CONTROL!$C$32, 51.7124, 51.7069) * CHOOSE( CONTROL!$C$15, $D$11, 100%, $F$11)</f>
        <v>51.712400000000002</v>
      </c>
      <c r="E948" s="12">
        <f>CHOOSE( CONTROL!$C$32, 51.7016, 51.6961) * CHOOSE( CONTROL!$C$15, $D$11, 100%, $F$11)</f>
        <v>51.701599999999999</v>
      </c>
      <c r="F948" s="4">
        <f>CHOOSE( CONTROL!$C$32, 52.3903, 52.3848) * CHOOSE(CONTROL!$C$15, $D$11, 100%, $F$11)</f>
        <v>52.390300000000003</v>
      </c>
      <c r="G948" s="8">
        <f>CHOOSE( CONTROL!$C$32, 50.4604, 50.455) * CHOOSE( CONTROL!$C$15, $D$11, 100%, $F$11)</f>
        <v>50.4604</v>
      </c>
      <c r="H948" s="4">
        <f>CHOOSE( CONTROL!$C$32, 51.4046, 51.3992) * CHOOSE(CONTROL!$C$15, $D$11, 100%, $F$11)</f>
        <v>51.404600000000002</v>
      </c>
      <c r="I948" s="8">
        <f>CHOOSE( CONTROL!$C$32, 49.7259, 49.7205) * CHOOSE(CONTROL!$C$15, $D$11, 100%, $F$11)</f>
        <v>49.725900000000003</v>
      </c>
      <c r="J948" s="4">
        <f>CHOOSE( CONTROL!$C$32, 49.5868, 49.5814) * CHOOSE(CONTROL!$C$15, $D$11, 100%, $F$11)</f>
        <v>49.586799999999997</v>
      </c>
      <c r="K948" s="4"/>
      <c r="L948" s="9">
        <v>30.7165</v>
      </c>
      <c r="M948" s="9">
        <v>12.063700000000001</v>
      </c>
      <c r="N948" s="9">
        <v>4.9444999999999997</v>
      </c>
      <c r="O948" s="9">
        <v>0.37409999999999999</v>
      </c>
      <c r="P948" s="9">
        <v>1.2183999999999999</v>
      </c>
      <c r="Q948" s="9">
        <v>19.688099999999999</v>
      </c>
      <c r="R948" s="9"/>
      <c r="S948" s="11"/>
    </row>
    <row r="949" spans="1:19" ht="15.75">
      <c r="A949" s="13">
        <v>70402</v>
      </c>
      <c r="B949" s="8">
        <f>CHOOSE( CONTROL!$C$32, 50.5962, 50.5906) * CHOOSE(CONTROL!$C$15, $D$11, 100%, $F$11)</f>
        <v>50.596200000000003</v>
      </c>
      <c r="C949" s="8">
        <f>CHOOSE( CONTROL!$C$32, 50.6043, 50.5987) * CHOOSE(CONTROL!$C$15, $D$11, 100%, $F$11)</f>
        <v>50.604300000000002</v>
      </c>
      <c r="D949" s="8">
        <f>CHOOSE( CONTROL!$C$32, 50.6307, 50.6251) * CHOOSE( CONTROL!$C$15, $D$11, 100%, $F$11)</f>
        <v>50.630699999999997</v>
      </c>
      <c r="E949" s="12">
        <f>CHOOSE( CONTROL!$C$32, 50.6199, 50.6143) * CHOOSE( CONTROL!$C$15, $D$11, 100%, $F$11)</f>
        <v>50.619900000000001</v>
      </c>
      <c r="F949" s="4">
        <f>CHOOSE( CONTROL!$C$32, 51.3086, 51.303) * CHOOSE(CONTROL!$C$15, $D$11, 100%, $F$11)</f>
        <v>51.308599999999998</v>
      </c>
      <c r="G949" s="8">
        <f>CHOOSE( CONTROL!$C$32, 49.4038, 49.3983) * CHOOSE( CONTROL!$C$15, $D$11, 100%, $F$11)</f>
        <v>49.403799999999997</v>
      </c>
      <c r="H949" s="4">
        <f>CHOOSE( CONTROL!$C$32, 50.3481, 50.3426) * CHOOSE(CONTROL!$C$15, $D$11, 100%, $F$11)</f>
        <v>50.348100000000002</v>
      </c>
      <c r="I949" s="8">
        <f>CHOOSE( CONTROL!$C$32, 48.6866, 48.6812) * CHOOSE(CONTROL!$C$15, $D$11, 100%, $F$11)</f>
        <v>48.686599999999999</v>
      </c>
      <c r="J949" s="4">
        <f>CHOOSE( CONTROL!$C$32, 48.5482, 48.5429) * CHOOSE(CONTROL!$C$15, $D$11, 100%, $F$11)</f>
        <v>48.548200000000001</v>
      </c>
      <c r="K949" s="4"/>
      <c r="L949" s="9">
        <v>29.7257</v>
      </c>
      <c r="M949" s="9">
        <v>11.6745</v>
      </c>
      <c r="N949" s="9">
        <v>4.7850000000000001</v>
      </c>
      <c r="O949" s="9">
        <v>0.36199999999999999</v>
      </c>
      <c r="P949" s="9">
        <v>1.1791</v>
      </c>
      <c r="Q949" s="9">
        <v>19.053000000000001</v>
      </c>
      <c r="R949" s="9"/>
      <c r="S949" s="11"/>
    </row>
    <row r="950" spans="1:19" ht="15.75">
      <c r="A950" s="13">
        <v>70433</v>
      </c>
      <c r="B950" s="8">
        <f>52.835 * CHOOSE(CONTROL!$C$15, $D$11, 100%, $F$11)</f>
        <v>52.835000000000001</v>
      </c>
      <c r="C950" s="8">
        <f>52.8404 * CHOOSE(CONTROL!$C$15, $D$11, 100%, $F$11)</f>
        <v>52.840400000000002</v>
      </c>
      <c r="D950" s="8">
        <f>52.8716 * CHOOSE( CONTROL!$C$15, $D$11, 100%, $F$11)</f>
        <v>52.871600000000001</v>
      </c>
      <c r="E950" s="12">
        <f>52.8607 * CHOOSE( CONTROL!$C$15, $D$11, 100%, $F$11)</f>
        <v>52.860700000000001</v>
      </c>
      <c r="F950" s="4">
        <f>53.5491 * CHOOSE(CONTROL!$C$15, $D$11, 100%, $F$11)</f>
        <v>53.549100000000003</v>
      </c>
      <c r="G950" s="8">
        <f>51.5912 * CHOOSE( CONTROL!$C$15, $D$11, 100%, $F$11)</f>
        <v>51.591200000000001</v>
      </c>
      <c r="H950" s="4">
        <f>52.5364 * CHOOSE(CONTROL!$C$15, $D$11, 100%, $F$11)</f>
        <v>52.5364</v>
      </c>
      <c r="I950" s="8">
        <f>50.8396 * CHOOSE(CONTROL!$C$15, $D$11, 100%, $F$11)</f>
        <v>50.839599999999997</v>
      </c>
      <c r="J950" s="4">
        <f>50.6993 * CHOOSE(CONTROL!$C$15, $D$11, 100%, $F$11)</f>
        <v>50.699300000000001</v>
      </c>
      <c r="K950" s="4"/>
      <c r="L950" s="9">
        <v>31.095300000000002</v>
      </c>
      <c r="M950" s="9">
        <v>12.063700000000001</v>
      </c>
      <c r="N950" s="9">
        <v>4.9444999999999997</v>
      </c>
      <c r="O950" s="9">
        <v>0.37409999999999999</v>
      </c>
      <c r="P950" s="9">
        <v>1.2183999999999999</v>
      </c>
      <c r="Q950" s="9">
        <v>19.688099999999999</v>
      </c>
      <c r="R950" s="9"/>
      <c r="S950" s="11"/>
    </row>
    <row r="951" spans="1:19" ht="15.75">
      <c r="A951" s="13">
        <v>70463</v>
      </c>
      <c r="B951" s="8">
        <f>56.9804 * CHOOSE(CONTROL!$C$15, $D$11, 100%, $F$11)</f>
        <v>56.980400000000003</v>
      </c>
      <c r="C951" s="8">
        <f>56.9855 * CHOOSE(CONTROL!$C$15, $D$11, 100%, $F$11)</f>
        <v>56.985500000000002</v>
      </c>
      <c r="D951" s="8">
        <f>56.9718 * CHOOSE( CONTROL!$C$15, $D$11, 100%, $F$11)</f>
        <v>56.971800000000002</v>
      </c>
      <c r="E951" s="12">
        <f>56.9763 * CHOOSE( CONTROL!$C$15, $D$11, 100%, $F$11)</f>
        <v>56.976300000000002</v>
      </c>
      <c r="F951" s="4">
        <f>57.6308 * CHOOSE(CONTROL!$C$15, $D$11, 100%, $F$11)</f>
        <v>57.630800000000001</v>
      </c>
      <c r="G951" s="8">
        <f>55.648 * CHOOSE( CONTROL!$C$15, $D$11, 100%, $F$11)</f>
        <v>55.648000000000003</v>
      </c>
      <c r="H951" s="4">
        <f>56.523 * CHOOSE(CONTROL!$C$15, $D$11, 100%, $F$11)</f>
        <v>56.523000000000003</v>
      </c>
      <c r="I951" s="8">
        <f>54.8656 * CHOOSE(CONTROL!$C$15, $D$11, 100%, $F$11)</f>
        <v>54.865600000000001</v>
      </c>
      <c r="J951" s="4">
        <f>54.6797 * CHOOSE(CONTROL!$C$15, $D$11, 100%, $F$11)</f>
        <v>54.679699999999997</v>
      </c>
      <c r="K951" s="4"/>
      <c r="L951" s="9">
        <v>28.360600000000002</v>
      </c>
      <c r="M951" s="9">
        <v>11.6745</v>
      </c>
      <c r="N951" s="9">
        <v>4.7850000000000001</v>
      </c>
      <c r="O951" s="9">
        <v>0.36199999999999999</v>
      </c>
      <c r="P951" s="9">
        <v>1.2509999999999999</v>
      </c>
      <c r="Q951" s="9">
        <v>19.053000000000001</v>
      </c>
      <c r="R951" s="9"/>
      <c r="S951" s="11"/>
    </row>
    <row r="952" spans="1:19" ht="15.75">
      <c r="A952" s="13">
        <v>70494</v>
      </c>
      <c r="B952" s="8">
        <f>56.8768 * CHOOSE(CONTROL!$C$15, $D$11, 100%, $F$11)</f>
        <v>56.876800000000003</v>
      </c>
      <c r="C952" s="8">
        <f>56.882 * CHOOSE(CONTROL!$C$15, $D$11, 100%, $F$11)</f>
        <v>56.881999999999998</v>
      </c>
      <c r="D952" s="8">
        <f>56.8697 * CHOOSE( CONTROL!$C$15, $D$11, 100%, $F$11)</f>
        <v>56.869700000000002</v>
      </c>
      <c r="E952" s="12">
        <f>56.8736 * CHOOSE( CONTROL!$C$15, $D$11, 100%, $F$11)</f>
        <v>56.873600000000003</v>
      </c>
      <c r="F952" s="4">
        <f>57.5272 * CHOOSE(CONTROL!$C$15, $D$11, 100%, $F$11)</f>
        <v>57.527200000000001</v>
      </c>
      <c r="G952" s="8">
        <f>55.5479 * CHOOSE( CONTROL!$C$15, $D$11, 100%, $F$11)</f>
        <v>55.547899999999998</v>
      </c>
      <c r="H952" s="4">
        <f>56.4218 * CHOOSE(CONTROL!$C$15, $D$11, 100%, $F$11)</f>
        <v>56.421799999999998</v>
      </c>
      <c r="I952" s="8">
        <f>54.7708 * CHOOSE(CONTROL!$C$15, $D$11, 100%, $F$11)</f>
        <v>54.770800000000001</v>
      </c>
      <c r="J952" s="4">
        <f>54.5802 * CHOOSE(CONTROL!$C$15, $D$11, 100%, $F$11)</f>
        <v>54.580199999999998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70525</v>
      </c>
      <c r="B953" s="8">
        <f>59.0495 * CHOOSE(CONTROL!$C$15, $D$11, 100%, $F$11)</f>
        <v>59.049500000000002</v>
      </c>
      <c r="C953" s="8">
        <f>59.0547 * CHOOSE(CONTROL!$C$15, $D$11, 100%, $F$11)</f>
        <v>59.054699999999997</v>
      </c>
      <c r="D953" s="8">
        <f>59.0371 * CHOOSE( CONTROL!$C$15, $D$11, 100%, $F$11)</f>
        <v>59.037100000000002</v>
      </c>
      <c r="E953" s="12">
        <f>59.043 * CHOOSE( CONTROL!$C$15, $D$11, 100%, $F$11)</f>
        <v>59.042999999999999</v>
      </c>
      <c r="F953" s="4">
        <f>59.7 * CHOOSE(CONTROL!$C$15, $D$11, 100%, $F$11)</f>
        <v>59.7</v>
      </c>
      <c r="G953" s="8">
        <f>57.66 * CHOOSE( CONTROL!$C$15, $D$11, 100%, $F$11)</f>
        <v>57.66</v>
      </c>
      <c r="H953" s="4">
        <f>58.5439 * CHOOSE(CONTROL!$C$15, $D$11, 100%, $F$11)</f>
        <v>58.543900000000001</v>
      </c>
      <c r="I953" s="8">
        <f>56.8178 * CHOOSE(CONTROL!$C$15, $D$11, 100%, $F$11)</f>
        <v>56.817799999999998</v>
      </c>
      <c r="J953" s="4">
        <f>56.6662 * CHOOSE(CONTROL!$C$15, $D$11, 100%, $F$11)</f>
        <v>56.666200000000003</v>
      </c>
      <c r="K953" s="4"/>
      <c r="L953" s="9">
        <v>29.306000000000001</v>
      </c>
      <c r="M953" s="9">
        <v>12.063700000000001</v>
      </c>
      <c r="N953" s="9">
        <v>4.9444999999999997</v>
      </c>
      <c r="O953" s="9">
        <v>0.37409999999999999</v>
      </c>
      <c r="P953" s="9">
        <v>1.2927</v>
      </c>
      <c r="Q953" s="9">
        <v>19.688099999999999</v>
      </c>
      <c r="R953" s="9"/>
      <c r="S953" s="11"/>
    </row>
    <row r="954" spans="1:19" ht="15.75">
      <c r="A954" s="13">
        <v>70553</v>
      </c>
      <c r="B954" s="8">
        <f>55.2339 * CHOOSE(CONTROL!$C$15, $D$11, 100%, $F$11)</f>
        <v>55.233899999999998</v>
      </c>
      <c r="C954" s="8">
        <f>55.2391 * CHOOSE(CONTROL!$C$15, $D$11, 100%, $F$11)</f>
        <v>55.239100000000001</v>
      </c>
      <c r="D954" s="8">
        <f>55.2214 * CHOOSE( CONTROL!$C$15, $D$11, 100%, $F$11)</f>
        <v>55.221400000000003</v>
      </c>
      <c r="E954" s="12">
        <f>55.2273 * CHOOSE( CONTROL!$C$15, $D$11, 100%, $F$11)</f>
        <v>55.2273</v>
      </c>
      <c r="F954" s="4">
        <f>55.8843 * CHOOSE(CONTROL!$C$15, $D$11, 100%, $F$11)</f>
        <v>55.884300000000003</v>
      </c>
      <c r="G954" s="8">
        <f>53.9332 * CHOOSE( CONTROL!$C$15, $D$11, 100%, $F$11)</f>
        <v>53.933199999999999</v>
      </c>
      <c r="H954" s="4">
        <f>54.8172 * CHOOSE(CONTROL!$C$15, $D$11, 100%, $F$11)</f>
        <v>54.8172</v>
      </c>
      <c r="I954" s="8">
        <f>53.1524 * CHOOSE(CONTROL!$C$15, $D$11, 100%, $F$11)</f>
        <v>53.1524</v>
      </c>
      <c r="J954" s="4">
        <f>53.0029 * CHOOSE(CONTROL!$C$15, $D$11, 100%, $F$11)</f>
        <v>53.002899999999997</v>
      </c>
      <c r="K954" s="4"/>
      <c r="L954" s="9">
        <v>26.469899999999999</v>
      </c>
      <c r="M954" s="9">
        <v>10.8962</v>
      </c>
      <c r="N954" s="9">
        <v>4.4660000000000002</v>
      </c>
      <c r="O954" s="9">
        <v>0.33789999999999998</v>
      </c>
      <c r="P954" s="9">
        <v>1.1676</v>
      </c>
      <c r="Q954" s="9">
        <v>17.782800000000002</v>
      </c>
      <c r="R954" s="9"/>
      <c r="S954" s="11"/>
    </row>
    <row r="955" spans="1:19" ht="15.75">
      <c r="A955" s="13">
        <v>70584</v>
      </c>
      <c r="B955" s="8">
        <f>54.0587 * CHOOSE(CONTROL!$C$15, $D$11, 100%, $F$11)</f>
        <v>54.058700000000002</v>
      </c>
      <c r="C955" s="8">
        <f>54.0639 * CHOOSE(CONTROL!$C$15, $D$11, 100%, $F$11)</f>
        <v>54.063899999999997</v>
      </c>
      <c r="D955" s="8">
        <f>54.0459 * CHOOSE( CONTROL!$C$15, $D$11, 100%, $F$11)</f>
        <v>54.045900000000003</v>
      </c>
      <c r="E955" s="12">
        <f>54.0519 * CHOOSE( CONTROL!$C$15, $D$11, 100%, $F$11)</f>
        <v>54.051900000000003</v>
      </c>
      <c r="F955" s="4">
        <f>54.7091 * CHOOSE(CONTROL!$C$15, $D$11, 100%, $F$11)</f>
        <v>54.709099999999999</v>
      </c>
      <c r="G955" s="8">
        <f>52.7851 * CHOOSE( CONTROL!$C$15, $D$11, 100%, $F$11)</f>
        <v>52.7851</v>
      </c>
      <c r="H955" s="4">
        <f>53.6694 * CHOOSE(CONTROL!$C$15, $D$11, 100%, $F$11)</f>
        <v>53.669400000000003</v>
      </c>
      <c r="I955" s="8">
        <f>52.0223 * CHOOSE(CONTROL!$C$15, $D$11, 100%, $F$11)</f>
        <v>52.022300000000001</v>
      </c>
      <c r="J955" s="4">
        <f>51.8746 * CHOOSE(CONTROL!$C$15, $D$11, 100%, $F$11)</f>
        <v>51.874600000000001</v>
      </c>
      <c r="K955" s="4"/>
      <c r="L955" s="9">
        <v>29.306000000000001</v>
      </c>
      <c r="M955" s="9">
        <v>12.063700000000001</v>
      </c>
      <c r="N955" s="9">
        <v>4.9444999999999997</v>
      </c>
      <c r="O955" s="9">
        <v>0.37409999999999999</v>
      </c>
      <c r="P955" s="9">
        <v>1.2927</v>
      </c>
      <c r="Q955" s="9">
        <v>19.688099999999999</v>
      </c>
      <c r="R955" s="9"/>
      <c r="S955" s="11"/>
    </row>
    <row r="956" spans="1:19" ht="15.75">
      <c r="A956" s="13">
        <v>70614</v>
      </c>
      <c r="B956" s="8">
        <f>54.8806 * CHOOSE(CONTROL!$C$15, $D$11, 100%, $F$11)</f>
        <v>54.880600000000001</v>
      </c>
      <c r="C956" s="8">
        <f>54.8853 * CHOOSE(CONTROL!$C$15, $D$11, 100%, $F$11)</f>
        <v>54.885300000000001</v>
      </c>
      <c r="D956" s="8">
        <f>54.9164 * CHOOSE( CONTROL!$C$15, $D$11, 100%, $F$11)</f>
        <v>54.916400000000003</v>
      </c>
      <c r="E956" s="12">
        <f>54.9056 * CHOOSE( CONTROL!$C$15, $D$11, 100%, $F$11)</f>
        <v>54.9056</v>
      </c>
      <c r="F956" s="4">
        <f>55.5944 * CHOOSE(CONTROL!$C$15, $D$11, 100%, $F$11)</f>
        <v>55.5944</v>
      </c>
      <c r="G956" s="8">
        <f>53.588 * CHOOSE( CONTROL!$C$15, $D$11, 100%, $F$11)</f>
        <v>53.588000000000001</v>
      </c>
      <c r="H956" s="4">
        <f>54.534 * CHOOSE(CONTROL!$C$15, $D$11, 100%, $F$11)</f>
        <v>54.533999999999999</v>
      </c>
      <c r="I956" s="8">
        <f>52.8017 * CHOOSE(CONTROL!$C$15, $D$11, 100%, $F$11)</f>
        <v>52.801699999999997</v>
      </c>
      <c r="J956" s="4">
        <f>52.663 * CHOOSE(CONTROL!$C$15, $D$11, 100%, $F$11)</f>
        <v>52.662999999999997</v>
      </c>
      <c r="K956" s="4"/>
      <c r="L956" s="9">
        <v>30.092199999999998</v>
      </c>
      <c r="M956" s="9">
        <v>11.6745</v>
      </c>
      <c r="N956" s="9">
        <v>4.7850000000000001</v>
      </c>
      <c r="O956" s="9">
        <v>0.36199999999999999</v>
      </c>
      <c r="P956" s="9">
        <v>1.1791</v>
      </c>
      <c r="Q956" s="9">
        <v>19.053000000000001</v>
      </c>
      <c r="R956" s="9"/>
      <c r="S956" s="11"/>
    </row>
    <row r="957" spans="1:19" ht="15.75">
      <c r="A957" s="13">
        <v>70645</v>
      </c>
      <c r="B957" s="8">
        <f>CHOOSE( CONTROL!$C$32, 56.3491, 56.3436) * CHOOSE(CONTROL!$C$15, $D$11, 100%, $F$11)</f>
        <v>56.3491</v>
      </c>
      <c r="C957" s="8">
        <f>CHOOSE( CONTROL!$C$32, 56.3572, 56.3516) * CHOOSE(CONTROL!$C$15, $D$11, 100%, $F$11)</f>
        <v>56.357199999999999</v>
      </c>
      <c r="D957" s="8">
        <f>CHOOSE( CONTROL!$C$32, 56.3832, 56.3776) * CHOOSE( CONTROL!$C$15, $D$11, 100%, $F$11)</f>
        <v>56.383200000000002</v>
      </c>
      <c r="E957" s="12">
        <f>CHOOSE( CONTROL!$C$32, 56.3725, 56.367) * CHOOSE( CONTROL!$C$15, $D$11, 100%, $F$11)</f>
        <v>56.372500000000002</v>
      </c>
      <c r="F957" s="4">
        <f>CHOOSE( CONTROL!$C$32, 57.0615, 57.0559) * CHOOSE(CONTROL!$C$15, $D$11, 100%, $F$11)</f>
        <v>57.061500000000002</v>
      </c>
      <c r="G957" s="8">
        <f>CHOOSE( CONTROL!$C$32, 55.0221, 55.0167) * CHOOSE( CONTROL!$C$15, $D$11, 100%, $F$11)</f>
        <v>55.022100000000002</v>
      </c>
      <c r="H957" s="4">
        <f>CHOOSE( CONTROL!$C$32, 55.967, 55.9615) * CHOOSE(CONTROL!$C$15, $D$11, 100%, $F$11)</f>
        <v>55.966999999999999</v>
      </c>
      <c r="I957" s="8">
        <f>CHOOSE( CONTROL!$C$32, 54.2109, 54.2055) * CHOOSE(CONTROL!$C$15, $D$11, 100%, $F$11)</f>
        <v>54.210900000000002</v>
      </c>
      <c r="J957" s="4">
        <f>CHOOSE( CONTROL!$C$32, 54.0716, 54.0662) * CHOOSE(CONTROL!$C$15, $D$11, 100%, $F$11)</f>
        <v>54.071599999999997</v>
      </c>
      <c r="K957" s="4"/>
      <c r="L957" s="9">
        <v>30.7165</v>
      </c>
      <c r="M957" s="9">
        <v>12.063700000000001</v>
      </c>
      <c r="N957" s="9">
        <v>4.9444999999999997</v>
      </c>
      <c r="O957" s="9">
        <v>0.37409999999999999</v>
      </c>
      <c r="P957" s="9">
        <v>1.2183999999999999</v>
      </c>
      <c r="Q957" s="9">
        <v>19.688099999999999</v>
      </c>
      <c r="R957" s="9"/>
      <c r="S957" s="11"/>
    </row>
    <row r="958" spans="1:19" ht="15.75">
      <c r="A958" s="13">
        <v>70675</v>
      </c>
      <c r="B958" s="8">
        <f>CHOOSE( CONTROL!$C$32, 55.4437, 55.4382) * CHOOSE(CONTROL!$C$15, $D$11, 100%, $F$11)</f>
        <v>55.4437</v>
      </c>
      <c r="C958" s="8">
        <f>CHOOSE( CONTROL!$C$32, 55.4518, 55.4463) * CHOOSE(CONTROL!$C$15, $D$11, 100%, $F$11)</f>
        <v>55.451799999999999</v>
      </c>
      <c r="D958" s="8">
        <f>CHOOSE( CONTROL!$C$32, 55.478, 55.4724) * CHOOSE( CONTROL!$C$15, $D$11, 100%, $F$11)</f>
        <v>55.478000000000002</v>
      </c>
      <c r="E958" s="12">
        <f>CHOOSE( CONTROL!$C$32, 55.4673, 55.4617) * CHOOSE( CONTROL!$C$15, $D$11, 100%, $F$11)</f>
        <v>55.467300000000002</v>
      </c>
      <c r="F958" s="4">
        <f>CHOOSE( CONTROL!$C$32, 56.1561, 56.1506) * CHOOSE(CONTROL!$C$15, $D$11, 100%, $F$11)</f>
        <v>56.156100000000002</v>
      </c>
      <c r="G958" s="8">
        <f>CHOOSE( CONTROL!$C$32, 54.1381, 54.1326) * CHOOSE( CONTROL!$C$15, $D$11, 100%, $F$11)</f>
        <v>54.138100000000001</v>
      </c>
      <c r="H958" s="4">
        <f>CHOOSE( CONTROL!$C$32, 55.0827, 55.0772) * CHOOSE(CONTROL!$C$15, $D$11, 100%, $F$11)</f>
        <v>55.082700000000003</v>
      </c>
      <c r="I958" s="8">
        <f>CHOOSE( CONTROL!$C$32, 53.342, 53.3367) * CHOOSE(CONTROL!$C$15, $D$11, 100%, $F$11)</f>
        <v>53.341999999999999</v>
      </c>
      <c r="J958" s="4">
        <f>CHOOSE( CONTROL!$C$32, 53.2023, 53.197) * CHOOSE(CONTROL!$C$15, $D$11, 100%, $F$11)</f>
        <v>53.202300000000001</v>
      </c>
      <c r="K958" s="4"/>
      <c r="L958" s="9">
        <v>29.7257</v>
      </c>
      <c r="M958" s="9">
        <v>11.6745</v>
      </c>
      <c r="N958" s="9">
        <v>4.7850000000000001</v>
      </c>
      <c r="O958" s="9">
        <v>0.36199999999999999</v>
      </c>
      <c r="P958" s="9">
        <v>1.1791</v>
      </c>
      <c r="Q958" s="9">
        <v>19.053000000000001</v>
      </c>
      <c r="R958" s="9"/>
      <c r="S958" s="11"/>
    </row>
    <row r="959" spans="1:19" ht="15.75">
      <c r="A959" s="13">
        <v>70706</v>
      </c>
      <c r="B959" s="8">
        <f>CHOOSE( CONTROL!$C$32, 57.828, 57.8224) * CHOOSE(CONTROL!$C$15, $D$11, 100%, $F$11)</f>
        <v>57.828000000000003</v>
      </c>
      <c r="C959" s="8">
        <f>CHOOSE( CONTROL!$C$32, 57.836, 57.8305) * CHOOSE(CONTROL!$C$15, $D$11, 100%, $F$11)</f>
        <v>57.835999999999999</v>
      </c>
      <c r="D959" s="8">
        <f>CHOOSE( CONTROL!$C$32, 57.8624, 57.8568) * CHOOSE( CONTROL!$C$15, $D$11, 100%, $F$11)</f>
        <v>57.862400000000001</v>
      </c>
      <c r="E959" s="12">
        <f>CHOOSE( CONTROL!$C$32, 57.8516, 57.846) * CHOOSE( CONTROL!$C$15, $D$11, 100%, $F$11)</f>
        <v>57.851599999999998</v>
      </c>
      <c r="F959" s="4">
        <f>CHOOSE( CONTROL!$C$32, 58.5403, 58.5348) * CHOOSE(CONTROL!$C$15, $D$11, 100%, $F$11)</f>
        <v>58.540300000000002</v>
      </c>
      <c r="G959" s="8">
        <f>CHOOSE( CONTROL!$C$32, 56.467, 56.4616) * CHOOSE( CONTROL!$C$15, $D$11, 100%, $F$11)</f>
        <v>56.466999999999999</v>
      </c>
      <c r="H959" s="4">
        <f>CHOOSE( CONTROL!$C$32, 57.4113, 57.4059) * CHOOSE(CONTROL!$C$15, $D$11, 100%, $F$11)</f>
        <v>57.411299999999997</v>
      </c>
      <c r="I959" s="8">
        <f>CHOOSE( CONTROL!$C$32, 55.6332, 55.6278) * CHOOSE(CONTROL!$C$15, $D$11, 100%, $F$11)</f>
        <v>55.633200000000002</v>
      </c>
      <c r="J959" s="4">
        <f>CHOOSE( CONTROL!$C$32, 55.4914, 55.486) * CHOOSE(CONTROL!$C$15, $D$11, 100%, $F$11)</f>
        <v>55.491399999999999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1.2183999999999999</v>
      </c>
      <c r="Q959" s="9">
        <v>19.688099999999999</v>
      </c>
      <c r="R959" s="9"/>
      <c r="S959" s="11"/>
    </row>
    <row r="960" spans="1:19" ht="15.75">
      <c r="A960" s="13">
        <v>70737</v>
      </c>
      <c r="B960" s="8">
        <f>CHOOSE( CONTROL!$C$32, 53.3668, 53.3613) * CHOOSE(CONTROL!$C$15, $D$11, 100%, $F$11)</f>
        <v>53.366799999999998</v>
      </c>
      <c r="C960" s="8">
        <f>CHOOSE( CONTROL!$C$32, 53.3749, 53.3694) * CHOOSE(CONTROL!$C$15, $D$11, 100%, $F$11)</f>
        <v>53.374899999999997</v>
      </c>
      <c r="D960" s="8">
        <f>CHOOSE( CONTROL!$C$32, 53.4013, 53.3958) * CHOOSE( CONTROL!$C$15, $D$11, 100%, $F$11)</f>
        <v>53.401299999999999</v>
      </c>
      <c r="E960" s="12">
        <f>CHOOSE( CONTROL!$C$32, 53.3905, 53.385) * CHOOSE( CONTROL!$C$15, $D$11, 100%, $F$11)</f>
        <v>53.390500000000003</v>
      </c>
      <c r="F960" s="4">
        <f>CHOOSE( CONTROL!$C$32, 54.0792, 54.0737) * CHOOSE(CONTROL!$C$15, $D$11, 100%, $F$11)</f>
        <v>54.0792</v>
      </c>
      <c r="G960" s="8">
        <f>CHOOSE( CONTROL!$C$32, 52.1099, 52.1045) * CHOOSE( CONTROL!$C$15, $D$11, 100%, $F$11)</f>
        <v>52.109900000000003</v>
      </c>
      <c r="H960" s="4">
        <f>CHOOSE( CONTROL!$C$32, 53.0542, 53.0487) * CHOOSE(CONTROL!$C$15, $D$11, 100%, $F$11)</f>
        <v>53.054200000000002</v>
      </c>
      <c r="I960" s="8">
        <f>CHOOSE( CONTROL!$C$32, 51.3482, 51.3429) * CHOOSE(CONTROL!$C$15, $D$11, 100%, $F$11)</f>
        <v>51.348199999999999</v>
      </c>
      <c r="J960" s="4">
        <f>CHOOSE( CONTROL!$C$32, 51.2083, 51.2029) * CHOOSE(CONTROL!$C$15, $D$11, 100%, $F$11)</f>
        <v>51.208300000000001</v>
      </c>
      <c r="K960" s="4"/>
      <c r="L960" s="9">
        <v>30.7165</v>
      </c>
      <c r="M960" s="9">
        <v>12.063700000000001</v>
      </c>
      <c r="N960" s="9">
        <v>4.9444999999999997</v>
      </c>
      <c r="O960" s="9">
        <v>0.37409999999999999</v>
      </c>
      <c r="P960" s="9">
        <v>1.2183999999999999</v>
      </c>
      <c r="Q960" s="9">
        <v>19.688099999999999</v>
      </c>
      <c r="R960" s="9"/>
      <c r="S960" s="11"/>
    </row>
    <row r="961" spans="1:19" ht="15.75">
      <c r="A961" s="13">
        <v>70767</v>
      </c>
      <c r="B961" s="8">
        <f>CHOOSE( CONTROL!$C$32, 52.2497, 52.2442) * CHOOSE(CONTROL!$C$15, $D$11, 100%, $F$11)</f>
        <v>52.249699999999997</v>
      </c>
      <c r="C961" s="8">
        <f>CHOOSE( CONTROL!$C$32, 52.2578, 52.2522) * CHOOSE(CONTROL!$C$15, $D$11, 100%, $F$11)</f>
        <v>52.257800000000003</v>
      </c>
      <c r="D961" s="8">
        <f>CHOOSE( CONTROL!$C$32, 52.2842, 52.2786) * CHOOSE( CONTROL!$C$15, $D$11, 100%, $F$11)</f>
        <v>52.284199999999998</v>
      </c>
      <c r="E961" s="12">
        <f>CHOOSE( CONTROL!$C$32, 52.2734, 52.2678) * CHOOSE( CONTROL!$C$15, $D$11, 100%, $F$11)</f>
        <v>52.273400000000002</v>
      </c>
      <c r="F961" s="4">
        <f>CHOOSE( CONTROL!$C$32, 52.9621, 52.9565) * CHOOSE(CONTROL!$C$15, $D$11, 100%, $F$11)</f>
        <v>52.9621</v>
      </c>
      <c r="G961" s="8">
        <f>CHOOSE( CONTROL!$C$32, 51.0188, 51.0133) * CHOOSE( CONTROL!$C$15, $D$11, 100%, $F$11)</f>
        <v>51.018799999999999</v>
      </c>
      <c r="H961" s="4">
        <f>CHOOSE( CONTROL!$C$32, 51.9631, 51.9576) * CHOOSE(CONTROL!$C$15, $D$11, 100%, $F$11)</f>
        <v>51.963099999999997</v>
      </c>
      <c r="I961" s="8">
        <f>CHOOSE( CONTROL!$C$32, 50.2749, 50.2695) * CHOOSE(CONTROL!$C$15, $D$11, 100%, $F$11)</f>
        <v>50.274900000000002</v>
      </c>
      <c r="J961" s="4">
        <f>CHOOSE( CONTROL!$C$32, 50.1357, 50.1304) * CHOOSE(CONTROL!$C$15, $D$11, 100%, $F$11)</f>
        <v>50.1357</v>
      </c>
      <c r="K961" s="4"/>
      <c r="L961" s="9">
        <v>29.7257</v>
      </c>
      <c r="M961" s="9">
        <v>11.6745</v>
      </c>
      <c r="N961" s="9">
        <v>4.7850000000000001</v>
      </c>
      <c r="O961" s="9">
        <v>0.36199999999999999</v>
      </c>
      <c r="P961" s="9">
        <v>1.1791</v>
      </c>
      <c r="Q961" s="9">
        <v>19.053000000000001</v>
      </c>
      <c r="R961" s="9"/>
      <c r="S961" s="11"/>
    </row>
    <row r="962" spans="1:19" ht="15.75">
      <c r="A962" s="13">
        <v>70798</v>
      </c>
      <c r="B962" s="8">
        <f>54.5619 * CHOOSE(CONTROL!$C$15, $D$11, 100%, $F$11)</f>
        <v>54.561900000000001</v>
      </c>
      <c r="C962" s="8">
        <f>54.5674 * CHOOSE(CONTROL!$C$15, $D$11, 100%, $F$11)</f>
        <v>54.567399999999999</v>
      </c>
      <c r="D962" s="8">
        <f>54.5986 * CHOOSE( CONTROL!$C$15, $D$11, 100%, $F$11)</f>
        <v>54.598599999999998</v>
      </c>
      <c r="E962" s="12">
        <f>54.5877 * CHOOSE( CONTROL!$C$15, $D$11, 100%, $F$11)</f>
        <v>54.587699999999998</v>
      </c>
      <c r="F962" s="4">
        <f>55.2761 * CHOOSE(CONTROL!$C$15, $D$11, 100%, $F$11)</f>
        <v>55.2761</v>
      </c>
      <c r="G962" s="8">
        <f>53.2779 * CHOOSE( CONTROL!$C$15, $D$11, 100%, $F$11)</f>
        <v>53.277900000000002</v>
      </c>
      <c r="H962" s="4">
        <f>54.2231 * CHOOSE(CONTROL!$C$15, $D$11, 100%, $F$11)</f>
        <v>54.223100000000002</v>
      </c>
      <c r="I962" s="8">
        <f>52.4985 * CHOOSE(CONTROL!$C$15, $D$11, 100%, $F$11)</f>
        <v>52.4985</v>
      </c>
      <c r="J962" s="4">
        <f>52.3574 * CHOOSE(CONTROL!$C$15, $D$11, 100%, $F$11)</f>
        <v>52.357399999999998</v>
      </c>
      <c r="K962" s="4"/>
      <c r="L962" s="9">
        <v>31.095300000000002</v>
      </c>
      <c r="M962" s="9">
        <v>12.063700000000001</v>
      </c>
      <c r="N962" s="9">
        <v>4.9444999999999997</v>
      </c>
      <c r="O962" s="9">
        <v>0.37409999999999999</v>
      </c>
      <c r="P962" s="9">
        <v>1.2183999999999999</v>
      </c>
      <c r="Q962" s="9">
        <v>19.688099999999999</v>
      </c>
      <c r="R962" s="9"/>
      <c r="S962" s="11"/>
    </row>
    <row r="963" spans="1:19" ht="15.75">
      <c r="A963" s="13">
        <v>70828</v>
      </c>
      <c r="B963" s="8">
        <f>58.8429 * CHOOSE(CONTROL!$C$15, $D$11, 100%, $F$11)</f>
        <v>58.8429</v>
      </c>
      <c r="C963" s="8">
        <f>58.8481 * CHOOSE(CONTROL!$C$15, $D$11, 100%, $F$11)</f>
        <v>58.848100000000002</v>
      </c>
      <c r="D963" s="8">
        <f>58.8343 * CHOOSE( CONTROL!$C$15, $D$11, 100%, $F$11)</f>
        <v>58.834299999999999</v>
      </c>
      <c r="E963" s="12">
        <f>58.8388 * CHOOSE( CONTROL!$C$15, $D$11, 100%, $F$11)</f>
        <v>58.838799999999999</v>
      </c>
      <c r="F963" s="4">
        <f>59.4934 * CHOOSE(CONTROL!$C$15, $D$11, 100%, $F$11)</f>
        <v>59.493400000000001</v>
      </c>
      <c r="G963" s="8">
        <f>57.4672 * CHOOSE( CONTROL!$C$15, $D$11, 100%, $F$11)</f>
        <v>57.467199999999998</v>
      </c>
      <c r="H963" s="4">
        <f>58.3422 * CHOOSE(CONTROL!$C$15, $D$11, 100%, $F$11)</f>
        <v>58.342199999999998</v>
      </c>
      <c r="I963" s="8">
        <f>56.6547 * CHOOSE(CONTROL!$C$15, $D$11, 100%, $F$11)</f>
        <v>56.654699999999998</v>
      </c>
      <c r="J963" s="4">
        <f>56.4679 * CHOOSE(CONTROL!$C$15, $D$11, 100%, $F$11)</f>
        <v>56.4679</v>
      </c>
      <c r="K963" s="4"/>
      <c r="L963" s="9">
        <v>28.360600000000002</v>
      </c>
      <c r="M963" s="9">
        <v>11.6745</v>
      </c>
      <c r="N963" s="9">
        <v>4.7850000000000001</v>
      </c>
      <c r="O963" s="9">
        <v>0.36199999999999999</v>
      </c>
      <c r="P963" s="9">
        <v>1.2509999999999999</v>
      </c>
      <c r="Q963" s="9">
        <v>19.053000000000001</v>
      </c>
      <c r="R963" s="9"/>
      <c r="S963" s="11"/>
    </row>
    <row r="964" spans="1:19" ht="15.75">
      <c r="A964" s="13">
        <v>70859</v>
      </c>
      <c r="B964" s="8">
        <f>58.7359 * CHOOSE(CONTROL!$C$15, $D$11, 100%, $F$11)</f>
        <v>58.735900000000001</v>
      </c>
      <c r="C964" s="8">
        <f>58.7411 * CHOOSE(CONTROL!$C$15, $D$11, 100%, $F$11)</f>
        <v>58.741100000000003</v>
      </c>
      <c r="D964" s="8">
        <f>58.7288 * CHOOSE( CONTROL!$C$15, $D$11, 100%, $F$11)</f>
        <v>58.7288</v>
      </c>
      <c r="E964" s="12">
        <f>58.7327 * CHOOSE( CONTROL!$C$15, $D$11, 100%, $F$11)</f>
        <v>58.732700000000001</v>
      </c>
      <c r="F964" s="4">
        <f>59.3864 * CHOOSE(CONTROL!$C$15, $D$11, 100%, $F$11)</f>
        <v>59.386400000000002</v>
      </c>
      <c r="G964" s="8">
        <f>57.3638 * CHOOSE( CONTROL!$C$15, $D$11, 100%, $F$11)</f>
        <v>57.363799999999998</v>
      </c>
      <c r="H964" s="4">
        <f>58.2377 * CHOOSE(CONTROL!$C$15, $D$11, 100%, $F$11)</f>
        <v>58.237699999999997</v>
      </c>
      <c r="I964" s="8">
        <f>56.5567 * CHOOSE(CONTROL!$C$15, $D$11, 100%, $F$11)</f>
        <v>56.556699999999999</v>
      </c>
      <c r="J964" s="4">
        <f>56.3652 * CHOOSE(CONTROL!$C$15, $D$11, 100%, $F$11)</f>
        <v>56.365200000000002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70890</v>
      </c>
      <c r="B965" s="8">
        <f>60.9797 * CHOOSE(CONTROL!$C$15, $D$11, 100%, $F$11)</f>
        <v>60.979700000000001</v>
      </c>
      <c r="C965" s="8">
        <f>60.9849 * CHOOSE(CONTROL!$C$15, $D$11, 100%, $F$11)</f>
        <v>60.984900000000003</v>
      </c>
      <c r="D965" s="8">
        <f>60.9673 * CHOOSE( CONTROL!$C$15, $D$11, 100%, $F$11)</f>
        <v>60.967300000000002</v>
      </c>
      <c r="E965" s="12">
        <f>60.9732 * CHOOSE( CONTROL!$C$15, $D$11, 100%, $F$11)</f>
        <v>60.973199999999999</v>
      </c>
      <c r="F965" s="4">
        <f>61.6302 * CHOOSE(CONTROL!$C$15, $D$11, 100%, $F$11)</f>
        <v>61.630200000000002</v>
      </c>
      <c r="G965" s="8">
        <f>59.5452 * CHOOSE( CONTROL!$C$15, $D$11, 100%, $F$11)</f>
        <v>59.545200000000001</v>
      </c>
      <c r="H965" s="4">
        <f>60.4292 * CHOOSE(CONTROL!$C$15, $D$11, 100%, $F$11)</f>
        <v>60.429200000000002</v>
      </c>
      <c r="I965" s="8">
        <f>58.6719 * CHOOSE(CONTROL!$C$15, $D$11, 100%, $F$11)</f>
        <v>58.671900000000001</v>
      </c>
      <c r="J965" s="4">
        <f>58.5194 * CHOOSE(CONTROL!$C$15, $D$11, 100%, $F$11)</f>
        <v>58.519399999999997</v>
      </c>
      <c r="K965" s="4"/>
      <c r="L965" s="9">
        <v>29.306000000000001</v>
      </c>
      <c r="M965" s="9">
        <v>12.063700000000001</v>
      </c>
      <c r="N965" s="9">
        <v>4.9444999999999997</v>
      </c>
      <c r="O965" s="9">
        <v>0.37409999999999999</v>
      </c>
      <c r="P965" s="9">
        <v>1.2927</v>
      </c>
      <c r="Q965" s="9">
        <v>19.688099999999999</v>
      </c>
      <c r="R965" s="9"/>
      <c r="S965" s="11"/>
    </row>
    <row r="966" spans="1:19" ht="15.75">
      <c r="A966" s="13">
        <v>70918</v>
      </c>
      <c r="B966" s="8">
        <f>57.0393 * CHOOSE(CONTROL!$C$15, $D$11, 100%, $F$11)</f>
        <v>57.039299999999997</v>
      </c>
      <c r="C966" s="8">
        <f>57.0445 * CHOOSE(CONTROL!$C$15, $D$11, 100%, $F$11)</f>
        <v>57.044499999999999</v>
      </c>
      <c r="D966" s="8">
        <f>57.0269 * CHOOSE( CONTROL!$C$15, $D$11, 100%, $F$11)</f>
        <v>57.026899999999998</v>
      </c>
      <c r="E966" s="12">
        <f>57.0328 * CHOOSE( CONTROL!$C$15, $D$11, 100%, $F$11)</f>
        <v>57.032800000000002</v>
      </c>
      <c r="F966" s="4">
        <f>57.6898 * CHOOSE(CONTROL!$C$15, $D$11, 100%, $F$11)</f>
        <v>57.689799999999998</v>
      </c>
      <c r="G966" s="8">
        <f>55.6966 * CHOOSE( CONTROL!$C$15, $D$11, 100%, $F$11)</f>
        <v>55.696599999999997</v>
      </c>
      <c r="H966" s="4">
        <f>56.5806 * CHOOSE(CONTROL!$C$15, $D$11, 100%, $F$11)</f>
        <v>56.580599999999997</v>
      </c>
      <c r="I966" s="8">
        <f>54.8866 * CHOOSE(CONTROL!$C$15, $D$11, 100%, $F$11)</f>
        <v>54.886600000000001</v>
      </c>
      <c r="J966" s="4">
        <f>54.7362 * CHOOSE(CONTROL!$C$15, $D$11, 100%, $F$11)</f>
        <v>54.736199999999997</v>
      </c>
      <c r="K966" s="4"/>
      <c r="L966" s="9">
        <v>26.469899999999999</v>
      </c>
      <c r="M966" s="9">
        <v>10.8962</v>
      </c>
      <c r="N966" s="9">
        <v>4.4660000000000002</v>
      </c>
      <c r="O966" s="9">
        <v>0.33789999999999998</v>
      </c>
      <c r="P966" s="9">
        <v>1.1676</v>
      </c>
      <c r="Q966" s="9">
        <v>17.782800000000002</v>
      </c>
      <c r="R966" s="9"/>
      <c r="S966" s="11"/>
    </row>
    <row r="967" spans="1:19" ht="15.75">
      <c r="A967" s="13">
        <v>70949</v>
      </c>
      <c r="B967" s="8">
        <f>55.8257 * CHOOSE(CONTROL!$C$15, $D$11, 100%, $F$11)</f>
        <v>55.825699999999998</v>
      </c>
      <c r="C967" s="8">
        <f>55.8309 * CHOOSE(CONTROL!$C$15, $D$11, 100%, $F$11)</f>
        <v>55.8309</v>
      </c>
      <c r="D967" s="8">
        <f>55.8129 * CHOOSE( CONTROL!$C$15, $D$11, 100%, $F$11)</f>
        <v>55.812899999999999</v>
      </c>
      <c r="E967" s="12">
        <f>55.8189 * CHOOSE( CONTROL!$C$15, $D$11, 100%, $F$11)</f>
        <v>55.818899999999999</v>
      </c>
      <c r="F967" s="4">
        <f>56.4761 * CHOOSE(CONTROL!$C$15, $D$11, 100%, $F$11)</f>
        <v>56.476100000000002</v>
      </c>
      <c r="G967" s="8">
        <f>54.511 * CHOOSE( CONTROL!$C$15, $D$11, 100%, $F$11)</f>
        <v>54.511000000000003</v>
      </c>
      <c r="H967" s="4">
        <f>55.3952 * CHOOSE(CONTROL!$C$15, $D$11, 100%, $F$11)</f>
        <v>55.395200000000003</v>
      </c>
      <c r="I967" s="8">
        <f>53.7197 * CHOOSE(CONTROL!$C$15, $D$11, 100%, $F$11)</f>
        <v>53.719700000000003</v>
      </c>
      <c r="J967" s="4">
        <f>53.571 * CHOOSE(CONTROL!$C$15, $D$11, 100%, $F$11)</f>
        <v>53.570999999999998</v>
      </c>
      <c r="K967" s="4"/>
      <c r="L967" s="9">
        <v>29.306000000000001</v>
      </c>
      <c r="M967" s="9">
        <v>12.063700000000001</v>
      </c>
      <c r="N967" s="9">
        <v>4.9444999999999997</v>
      </c>
      <c r="O967" s="9">
        <v>0.37409999999999999</v>
      </c>
      <c r="P967" s="9">
        <v>1.2927</v>
      </c>
      <c r="Q967" s="9">
        <v>19.688099999999999</v>
      </c>
      <c r="R967" s="9"/>
      <c r="S967" s="11"/>
    </row>
    <row r="968" spans="1:19" ht="15.75">
      <c r="A968" s="13">
        <v>70979</v>
      </c>
      <c r="B968" s="8">
        <f>56.6745 * CHOOSE(CONTROL!$C$15, $D$11, 100%, $F$11)</f>
        <v>56.674500000000002</v>
      </c>
      <c r="C968" s="8">
        <f>56.6791 * CHOOSE(CONTROL!$C$15, $D$11, 100%, $F$11)</f>
        <v>56.679099999999998</v>
      </c>
      <c r="D968" s="8">
        <f>56.7102 * CHOOSE( CONTROL!$C$15, $D$11, 100%, $F$11)</f>
        <v>56.7102</v>
      </c>
      <c r="E968" s="12">
        <f>56.6994 * CHOOSE( CONTROL!$C$15, $D$11, 100%, $F$11)</f>
        <v>56.699399999999997</v>
      </c>
      <c r="F968" s="4">
        <f>57.3882 * CHOOSE(CONTROL!$C$15, $D$11, 100%, $F$11)</f>
        <v>57.388199999999998</v>
      </c>
      <c r="G968" s="8">
        <f>55.3401 * CHOOSE( CONTROL!$C$15, $D$11, 100%, $F$11)</f>
        <v>55.3401</v>
      </c>
      <c r="H968" s="4">
        <f>56.2861 * CHOOSE(CONTROL!$C$15, $D$11, 100%, $F$11)</f>
        <v>56.286099999999998</v>
      </c>
      <c r="I968" s="8">
        <f>54.5248 * CHOOSE(CONTROL!$C$15, $D$11, 100%, $F$11)</f>
        <v>54.524799999999999</v>
      </c>
      <c r="J968" s="4">
        <f>54.3853 * CHOOSE(CONTROL!$C$15, $D$11, 100%, $F$11)</f>
        <v>54.385300000000001</v>
      </c>
      <c r="K968" s="4"/>
      <c r="L968" s="9">
        <v>30.092199999999998</v>
      </c>
      <c r="M968" s="9">
        <v>11.6745</v>
      </c>
      <c r="N968" s="9">
        <v>4.7850000000000001</v>
      </c>
      <c r="O968" s="9">
        <v>0.36199999999999999</v>
      </c>
      <c r="P968" s="9">
        <v>1.1791</v>
      </c>
      <c r="Q968" s="9">
        <v>19.053000000000001</v>
      </c>
      <c r="R968" s="9"/>
      <c r="S968" s="11"/>
    </row>
    <row r="969" spans="1:19" ht="15.75">
      <c r="A969" s="13">
        <v>71010</v>
      </c>
      <c r="B969" s="8">
        <f>CHOOSE( CONTROL!$C$32, 58.1908, 58.1852) * CHOOSE(CONTROL!$C$15, $D$11, 100%, $F$11)</f>
        <v>58.190800000000003</v>
      </c>
      <c r="C969" s="8">
        <f>CHOOSE( CONTROL!$C$32, 58.1989, 58.1933) * CHOOSE(CONTROL!$C$15, $D$11, 100%, $F$11)</f>
        <v>58.198900000000002</v>
      </c>
      <c r="D969" s="8">
        <f>CHOOSE( CONTROL!$C$32, 58.2248, 58.2193) * CHOOSE( CONTROL!$C$15, $D$11, 100%, $F$11)</f>
        <v>58.224800000000002</v>
      </c>
      <c r="E969" s="12">
        <f>CHOOSE( CONTROL!$C$32, 58.2142, 58.2086) * CHOOSE( CONTROL!$C$15, $D$11, 100%, $F$11)</f>
        <v>58.214199999999998</v>
      </c>
      <c r="F969" s="4">
        <f>CHOOSE( CONTROL!$C$32, 58.9032, 58.8976) * CHOOSE(CONTROL!$C$15, $D$11, 100%, $F$11)</f>
        <v>58.903199999999998</v>
      </c>
      <c r="G969" s="8">
        <f>CHOOSE( CONTROL!$C$32, 56.8209, 56.8154) * CHOOSE( CONTROL!$C$15, $D$11, 100%, $F$11)</f>
        <v>56.820900000000002</v>
      </c>
      <c r="H969" s="4">
        <f>CHOOSE( CONTROL!$C$32, 57.7657, 57.7603) * CHOOSE(CONTROL!$C$15, $D$11, 100%, $F$11)</f>
        <v>57.765700000000002</v>
      </c>
      <c r="I969" s="8">
        <f>CHOOSE( CONTROL!$C$32, 55.9799, 55.9746) * CHOOSE(CONTROL!$C$15, $D$11, 100%, $F$11)</f>
        <v>55.979900000000001</v>
      </c>
      <c r="J969" s="4">
        <f>CHOOSE( CONTROL!$C$32, 55.8397, 55.8344) * CHOOSE(CONTROL!$C$15, $D$11, 100%, $F$11)</f>
        <v>55.839700000000001</v>
      </c>
      <c r="K969" s="4"/>
      <c r="L969" s="9">
        <v>30.7165</v>
      </c>
      <c r="M969" s="9">
        <v>12.063700000000001</v>
      </c>
      <c r="N969" s="9">
        <v>4.9444999999999997</v>
      </c>
      <c r="O969" s="9">
        <v>0.37409999999999999</v>
      </c>
      <c r="P969" s="9">
        <v>1.2183999999999999</v>
      </c>
      <c r="Q969" s="9">
        <v>19.688099999999999</v>
      </c>
      <c r="R969" s="9"/>
      <c r="S969" s="11"/>
    </row>
    <row r="970" spans="1:19" ht="15.75">
      <c r="A970" s="13">
        <v>71040</v>
      </c>
      <c r="B970" s="8">
        <f>CHOOSE( CONTROL!$C$32, 57.2558, 57.2502) * CHOOSE(CONTROL!$C$15, $D$11, 100%, $F$11)</f>
        <v>57.255800000000001</v>
      </c>
      <c r="C970" s="8">
        <f>CHOOSE( CONTROL!$C$32, 57.2639, 57.2583) * CHOOSE(CONTROL!$C$15, $D$11, 100%, $F$11)</f>
        <v>57.2639</v>
      </c>
      <c r="D970" s="8">
        <f>CHOOSE( CONTROL!$C$32, 57.29, 57.2844) * CHOOSE( CONTROL!$C$15, $D$11, 100%, $F$11)</f>
        <v>57.29</v>
      </c>
      <c r="E970" s="12">
        <f>CHOOSE( CONTROL!$C$32, 57.2793, 57.2737) * CHOOSE( CONTROL!$C$15, $D$11, 100%, $F$11)</f>
        <v>57.279299999999999</v>
      </c>
      <c r="F970" s="4">
        <f>CHOOSE( CONTROL!$C$32, 57.9682, 57.9626) * CHOOSE(CONTROL!$C$15, $D$11, 100%, $F$11)</f>
        <v>57.968200000000003</v>
      </c>
      <c r="G970" s="8">
        <f>CHOOSE( CONTROL!$C$32, 55.9079, 55.9025) * CHOOSE( CONTROL!$C$15, $D$11, 100%, $F$11)</f>
        <v>55.907899999999998</v>
      </c>
      <c r="H970" s="4">
        <f>CHOOSE( CONTROL!$C$32, 56.8525, 56.8471) * CHOOSE(CONTROL!$C$15, $D$11, 100%, $F$11)</f>
        <v>56.852499999999999</v>
      </c>
      <c r="I970" s="8">
        <f>CHOOSE( CONTROL!$C$32, 55.0826, 55.0773) * CHOOSE(CONTROL!$C$15, $D$11, 100%, $F$11)</f>
        <v>55.082599999999999</v>
      </c>
      <c r="J970" s="4">
        <f>CHOOSE( CONTROL!$C$32, 54.9421, 54.9367) * CHOOSE(CONTROL!$C$15, $D$11, 100%, $F$11)</f>
        <v>54.942100000000003</v>
      </c>
      <c r="K970" s="4"/>
      <c r="L970" s="9">
        <v>29.7257</v>
      </c>
      <c r="M970" s="9">
        <v>11.6745</v>
      </c>
      <c r="N970" s="9">
        <v>4.7850000000000001</v>
      </c>
      <c r="O970" s="9">
        <v>0.36199999999999999</v>
      </c>
      <c r="P970" s="9">
        <v>1.1791</v>
      </c>
      <c r="Q970" s="9">
        <v>19.053000000000001</v>
      </c>
      <c r="R970" s="9"/>
      <c r="S970" s="11"/>
    </row>
    <row r="971" spans="1:19" ht="15.75">
      <c r="A971" s="13">
        <v>71071</v>
      </c>
      <c r="B971" s="8">
        <f>CHOOSE( CONTROL!$C$32, 59.718, 59.7124) * CHOOSE(CONTROL!$C$15, $D$11, 100%, $F$11)</f>
        <v>59.718000000000004</v>
      </c>
      <c r="C971" s="8">
        <f>CHOOSE( CONTROL!$C$32, 59.726, 59.7205) * CHOOSE(CONTROL!$C$15, $D$11, 100%, $F$11)</f>
        <v>59.725999999999999</v>
      </c>
      <c r="D971" s="8">
        <f>CHOOSE( CONTROL!$C$32, 59.7524, 59.7468) * CHOOSE( CONTROL!$C$15, $D$11, 100%, $F$11)</f>
        <v>59.752400000000002</v>
      </c>
      <c r="E971" s="12">
        <f>CHOOSE( CONTROL!$C$32, 59.7416, 59.736) * CHOOSE( CONTROL!$C$15, $D$11, 100%, $F$11)</f>
        <v>59.741599999999998</v>
      </c>
      <c r="F971" s="4">
        <f>CHOOSE( CONTROL!$C$32, 60.4304, 60.4248) * CHOOSE(CONTROL!$C$15, $D$11, 100%, $F$11)</f>
        <v>60.430399999999999</v>
      </c>
      <c r="G971" s="8">
        <f>CHOOSE( CONTROL!$C$32, 58.313, 58.3076) * CHOOSE( CONTROL!$C$15, $D$11, 100%, $F$11)</f>
        <v>58.313000000000002</v>
      </c>
      <c r="H971" s="4">
        <f>CHOOSE( CONTROL!$C$32, 59.2573, 59.2519) * CHOOSE(CONTROL!$C$15, $D$11, 100%, $F$11)</f>
        <v>59.257300000000001</v>
      </c>
      <c r="I971" s="8">
        <f>CHOOSE( CONTROL!$C$32, 57.4487, 57.4433) * CHOOSE(CONTROL!$C$15, $D$11, 100%, $F$11)</f>
        <v>57.448700000000002</v>
      </c>
      <c r="J971" s="4">
        <f>CHOOSE( CONTROL!$C$32, 57.306, 57.3006) * CHOOSE(CONTROL!$C$15, $D$11, 100%, $F$11)</f>
        <v>57.305999999999997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1.2183999999999999</v>
      </c>
      <c r="Q971" s="9">
        <v>19.688099999999999</v>
      </c>
      <c r="R971" s="9"/>
      <c r="S971" s="11"/>
    </row>
    <row r="972" spans="1:19" ht="15.75">
      <c r="A972" s="13">
        <v>71102</v>
      </c>
      <c r="B972" s="8">
        <f>CHOOSE( CONTROL!$C$32, 55.111, 55.1054) * CHOOSE(CONTROL!$C$15, $D$11, 100%, $F$11)</f>
        <v>55.110999999999997</v>
      </c>
      <c r="C972" s="8">
        <f>CHOOSE( CONTROL!$C$32, 55.119, 55.1135) * CHOOSE(CONTROL!$C$15, $D$11, 100%, $F$11)</f>
        <v>55.119</v>
      </c>
      <c r="D972" s="8">
        <f>CHOOSE( CONTROL!$C$32, 55.1454, 55.1399) * CHOOSE( CONTROL!$C$15, $D$11, 100%, $F$11)</f>
        <v>55.145400000000002</v>
      </c>
      <c r="E972" s="12">
        <f>CHOOSE( CONTROL!$C$32, 55.1346, 55.1291) * CHOOSE( CONTROL!$C$15, $D$11, 100%, $F$11)</f>
        <v>55.134599999999999</v>
      </c>
      <c r="F972" s="4">
        <f>CHOOSE( CONTROL!$C$32, 55.8233, 55.8178) * CHOOSE(CONTROL!$C$15, $D$11, 100%, $F$11)</f>
        <v>55.823300000000003</v>
      </c>
      <c r="G972" s="8">
        <f>CHOOSE( CONTROL!$C$32, 53.8134, 53.808) * CHOOSE( CONTROL!$C$15, $D$11, 100%, $F$11)</f>
        <v>53.813400000000001</v>
      </c>
      <c r="H972" s="4">
        <f>CHOOSE( CONTROL!$C$32, 54.7576, 54.7522) * CHOOSE(CONTROL!$C$15, $D$11, 100%, $F$11)</f>
        <v>54.757599999999996</v>
      </c>
      <c r="I972" s="8">
        <f>CHOOSE( CONTROL!$C$32, 53.0236, 53.0182) * CHOOSE(CONTROL!$C$15, $D$11, 100%, $F$11)</f>
        <v>53.023600000000002</v>
      </c>
      <c r="J972" s="4">
        <f>CHOOSE( CONTROL!$C$32, 52.8828, 52.8775) * CHOOSE(CONTROL!$C$15, $D$11, 100%, $F$11)</f>
        <v>52.882800000000003</v>
      </c>
      <c r="K972" s="4"/>
      <c r="L972" s="9">
        <v>30.7165</v>
      </c>
      <c r="M972" s="9">
        <v>12.063700000000001</v>
      </c>
      <c r="N972" s="9">
        <v>4.9444999999999997</v>
      </c>
      <c r="O972" s="9">
        <v>0.37409999999999999</v>
      </c>
      <c r="P972" s="9">
        <v>1.2183999999999999</v>
      </c>
      <c r="Q972" s="9">
        <v>19.688099999999999</v>
      </c>
      <c r="R972" s="9"/>
      <c r="S972" s="11"/>
    </row>
    <row r="973" spans="1:19" ht="15.75">
      <c r="A973" s="13">
        <v>71132</v>
      </c>
      <c r="B973" s="8">
        <f>CHOOSE( CONTROL!$C$32, 53.9573, 53.9517) * CHOOSE(CONTROL!$C$15, $D$11, 100%, $F$11)</f>
        <v>53.957299999999996</v>
      </c>
      <c r="C973" s="8">
        <f>CHOOSE( CONTROL!$C$32, 53.9654, 53.9598) * CHOOSE(CONTROL!$C$15, $D$11, 100%, $F$11)</f>
        <v>53.965400000000002</v>
      </c>
      <c r="D973" s="8">
        <f>CHOOSE( CONTROL!$C$32, 53.9917, 53.9862) * CHOOSE( CONTROL!$C$15, $D$11, 100%, $F$11)</f>
        <v>53.991700000000002</v>
      </c>
      <c r="E973" s="12">
        <f>CHOOSE( CONTROL!$C$32, 53.9809, 53.9754) * CHOOSE( CONTROL!$C$15, $D$11, 100%, $F$11)</f>
        <v>53.980899999999998</v>
      </c>
      <c r="F973" s="4">
        <f>CHOOSE( CONTROL!$C$32, 54.6697, 54.6641) * CHOOSE(CONTROL!$C$15, $D$11, 100%, $F$11)</f>
        <v>54.669699999999999</v>
      </c>
      <c r="G973" s="8">
        <f>CHOOSE( CONTROL!$C$32, 52.6866, 52.6811) * CHOOSE( CONTROL!$C$15, $D$11, 100%, $F$11)</f>
        <v>52.686599999999999</v>
      </c>
      <c r="H973" s="4">
        <f>CHOOSE( CONTROL!$C$32, 53.6309, 53.6254) * CHOOSE(CONTROL!$C$15, $D$11, 100%, $F$11)</f>
        <v>53.630899999999997</v>
      </c>
      <c r="I973" s="8">
        <f>CHOOSE( CONTROL!$C$32, 51.9152, 51.9098) * CHOOSE(CONTROL!$C$15, $D$11, 100%, $F$11)</f>
        <v>51.915199999999999</v>
      </c>
      <c r="J973" s="4">
        <f>CHOOSE( CONTROL!$C$32, 51.7752, 51.7698) * CHOOSE(CONTROL!$C$15, $D$11, 100%, $F$11)</f>
        <v>51.775199999999998</v>
      </c>
      <c r="K973" s="4"/>
      <c r="L973" s="9">
        <v>29.7257</v>
      </c>
      <c r="M973" s="9">
        <v>11.6745</v>
      </c>
      <c r="N973" s="9">
        <v>4.7850000000000001</v>
      </c>
      <c r="O973" s="9">
        <v>0.36199999999999999</v>
      </c>
      <c r="P973" s="9">
        <v>1.1791</v>
      </c>
      <c r="Q973" s="9">
        <v>19.053000000000001</v>
      </c>
      <c r="R973" s="9"/>
      <c r="S973" s="11"/>
    </row>
    <row r="974" spans="1:19" ht="15.75">
      <c r="A974" s="13">
        <v>71163</v>
      </c>
      <c r="B974" s="8">
        <f>56.3454 * CHOOSE(CONTROL!$C$15, $D$11, 100%, $F$11)</f>
        <v>56.345399999999998</v>
      </c>
      <c r="C974" s="8">
        <f>56.3508 * CHOOSE(CONTROL!$C$15, $D$11, 100%, $F$11)</f>
        <v>56.3508</v>
      </c>
      <c r="D974" s="8">
        <f>56.382 * CHOOSE( CONTROL!$C$15, $D$11, 100%, $F$11)</f>
        <v>56.381999999999998</v>
      </c>
      <c r="E974" s="12">
        <f>56.3711 * CHOOSE( CONTROL!$C$15, $D$11, 100%, $F$11)</f>
        <v>56.371099999999998</v>
      </c>
      <c r="F974" s="4">
        <f>57.0595 * CHOOSE(CONTROL!$C$15, $D$11, 100%, $F$11)</f>
        <v>57.0595</v>
      </c>
      <c r="G974" s="8">
        <f>55.0198 * CHOOSE( CONTROL!$C$15, $D$11, 100%, $F$11)</f>
        <v>55.019799999999996</v>
      </c>
      <c r="H974" s="4">
        <f>55.965 * CHOOSE(CONTROL!$C$15, $D$11, 100%, $F$11)</f>
        <v>55.965000000000003</v>
      </c>
      <c r="I974" s="8">
        <f>54.2116 * CHOOSE(CONTROL!$C$15, $D$11, 100%, $F$11)</f>
        <v>54.211599999999997</v>
      </c>
      <c r="J974" s="4">
        <f>54.0696 * CHOOSE(CONTROL!$C$15, $D$11, 100%, $F$11)</f>
        <v>54.069600000000001</v>
      </c>
      <c r="K974" s="4"/>
      <c r="L974" s="9">
        <v>31.095300000000002</v>
      </c>
      <c r="M974" s="9">
        <v>12.063700000000001</v>
      </c>
      <c r="N974" s="9">
        <v>4.9444999999999997</v>
      </c>
      <c r="O974" s="9">
        <v>0.37409999999999999</v>
      </c>
      <c r="P974" s="9">
        <v>1.2183999999999999</v>
      </c>
      <c r="Q974" s="9">
        <v>19.688099999999999</v>
      </c>
      <c r="R974" s="9"/>
      <c r="S974" s="11"/>
    </row>
    <row r="975" spans="1:19" ht="15.75">
      <c r="A975" s="13">
        <v>71193</v>
      </c>
      <c r="B975" s="8">
        <f>60.7664 * CHOOSE(CONTROL!$C$15, $D$11, 100%, $F$11)</f>
        <v>60.766399999999997</v>
      </c>
      <c r="C975" s="8">
        <f>60.7715 * CHOOSE(CONTROL!$C$15, $D$11, 100%, $F$11)</f>
        <v>60.771500000000003</v>
      </c>
      <c r="D975" s="8">
        <f>60.7578 * CHOOSE( CONTROL!$C$15, $D$11, 100%, $F$11)</f>
        <v>60.757800000000003</v>
      </c>
      <c r="E975" s="12">
        <f>60.7623 * CHOOSE( CONTROL!$C$15, $D$11, 100%, $F$11)</f>
        <v>60.762300000000003</v>
      </c>
      <c r="F975" s="4">
        <f>61.4168 * CHOOSE(CONTROL!$C$15, $D$11, 100%, $F$11)</f>
        <v>61.416800000000002</v>
      </c>
      <c r="G975" s="8">
        <f>59.3458 * CHOOSE( CONTROL!$C$15, $D$11, 100%, $F$11)</f>
        <v>59.345799999999997</v>
      </c>
      <c r="H975" s="4">
        <f>60.2208 * CHOOSE(CONTROL!$C$15, $D$11, 100%, $F$11)</f>
        <v>60.220799999999997</v>
      </c>
      <c r="I975" s="8">
        <f>58.5023 * CHOOSE(CONTROL!$C$15, $D$11, 100%, $F$11)</f>
        <v>58.502299999999998</v>
      </c>
      <c r="J975" s="4">
        <f>58.3146 * CHOOSE(CONTROL!$C$15, $D$11, 100%, $F$11)</f>
        <v>58.314599999999999</v>
      </c>
      <c r="K975" s="4"/>
      <c r="L975" s="9">
        <v>28.360600000000002</v>
      </c>
      <c r="M975" s="9">
        <v>11.6745</v>
      </c>
      <c r="N975" s="9">
        <v>4.7850000000000001</v>
      </c>
      <c r="O975" s="9">
        <v>0.36199999999999999</v>
      </c>
      <c r="P975" s="9">
        <v>1.2509999999999999</v>
      </c>
      <c r="Q975" s="9">
        <v>19.053000000000001</v>
      </c>
      <c r="R975" s="9"/>
      <c r="S975" s="11"/>
    </row>
    <row r="976" spans="1:19" ht="15.75">
      <c r="A976" s="13">
        <v>71224</v>
      </c>
      <c r="B976" s="8">
        <f>60.6559 * CHOOSE(CONTROL!$C$15, $D$11, 100%, $F$11)</f>
        <v>60.655900000000003</v>
      </c>
      <c r="C976" s="8">
        <f>60.6611 * CHOOSE(CONTROL!$C$15, $D$11, 100%, $F$11)</f>
        <v>60.661099999999998</v>
      </c>
      <c r="D976" s="8">
        <f>60.6488 * CHOOSE( CONTROL!$C$15, $D$11, 100%, $F$11)</f>
        <v>60.648800000000001</v>
      </c>
      <c r="E976" s="12">
        <f>60.6527 * CHOOSE( CONTROL!$C$15, $D$11, 100%, $F$11)</f>
        <v>60.652700000000003</v>
      </c>
      <c r="F976" s="4">
        <f>61.3064 * CHOOSE(CONTROL!$C$15, $D$11, 100%, $F$11)</f>
        <v>61.306399999999996</v>
      </c>
      <c r="G976" s="8">
        <f>59.239 * CHOOSE( CONTROL!$C$15, $D$11, 100%, $F$11)</f>
        <v>59.238999999999997</v>
      </c>
      <c r="H976" s="4">
        <f>60.1129 * CHOOSE(CONTROL!$C$15, $D$11, 100%, $F$11)</f>
        <v>60.112900000000003</v>
      </c>
      <c r="I976" s="8">
        <f>58.401 * CHOOSE(CONTROL!$C$15, $D$11, 100%, $F$11)</f>
        <v>58.401000000000003</v>
      </c>
      <c r="J976" s="4">
        <f>58.2085 * CHOOSE(CONTROL!$C$15, $D$11, 100%, $F$11)</f>
        <v>58.208500000000001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71255</v>
      </c>
      <c r="B977" s="8">
        <f>62.973 * CHOOSE(CONTROL!$C$15, $D$11, 100%, $F$11)</f>
        <v>62.972999999999999</v>
      </c>
      <c r="C977" s="8">
        <f>62.9782 * CHOOSE(CONTROL!$C$15, $D$11, 100%, $F$11)</f>
        <v>62.978200000000001</v>
      </c>
      <c r="D977" s="8">
        <f>62.9607 * CHOOSE( CONTROL!$C$15, $D$11, 100%, $F$11)</f>
        <v>62.960700000000003</v>
      </c>
      <c r="E977" s="12">
        <f>62.9665 * CHOOSE( CONTROL!$C$15, $D$11, 100%, $F$11)</f>
        <v>62.966500000000003</v>
      </c>
      <c r="F977" s="4">
        <f>63.6235 * CHOOSE(CONTROL!$C$15, $D$11, 100%, $F$11)</f>
        <v>63.6235</v>
      </c>
      <c r="G977" s="8">
        <f>61.4921 * CHOOSE( CONTROL!$C$15, $D$11, 100%, $F$11)</f>
        <v>61.492100000000001</v>
      </c>
      <c r="H977" s="4">
        <f>62.3761 * CHOOSE(CONTROL!$C$15, $D$11, 100%, $F$11)</f>
        <v>62.376100000000001</v>
      </c>
      <c r="I977" s="8">
        <f>60.5866 * CHOOSE(CONTROL!$C$15, $D$11, 100%, $F$11)</f>
        <v>60.586599999999997</v>
      </c>
      <c r="J977" s="4">
        <f>60.4332 * CHOOSE(CONTROL!$C$15, $D$11, 100%, $F$11)</f>
        <v>60.433199999999999</v>
      </c>
      <c r="K977" s="4"/>
      <c r="L977" s="9">
        <v>29.306000000000001</v>
      </c>
      <c r="M977" s="9">
        <v>12.063700000000001</v>
      </c>
      <c r="N977" s="9">
        <v>4.9444999999999997</v>
      </c>
      <c r="O977" s="9">
        <v>0.37409999999999999</v>
      </c>
      <c r="P977" s="9">
        <v>1.2927</v>
      </c>
      <c r="Q977" s="9">
        <v>19.688099999999999</v>
      </c>
      <c r="R977" s="9"/>
      <c r="S977" s="11"/>
    </row>
    <row r="978" spans="1:19" ht="15.75">
      <c r="A978" s="13">
        <v>71283</v>
      </c>
      <c r="B978" s="8">
        <f>58.9038 * CHOOSE(CONTROL!$C$15, $D$11, 100%, $F$11)</f>
        <v>58.903799999999997</v>
      </c>
      <c r="C978" s="8">
        <f>58.909 * CHOOSE(CONTROL!$C$15, $D$11, 100%, $F$11)</f>
        <v>58.908999999999999</v>
      </c>
      <c r="D978" s="8">
        <f>58.8913 * CHOOSE( CONTROL!$C$15, $D$11, 100%, $F$11)</f>
        <v>58.891300000000001</v>
      </c>
      <c r="E978" s="12">
        <f>58.8972 * CHOOSE( CONTROL!$C$15, $D$11, 100%, $F$11)</f>
        <v>58.897199999999998</v>
      </c>
      <c r="F978" s="4">
        <f>59.5542 * CHOOSE(CONTROL!$C$15, $D$11, 100%, $F$11)</f>
        <v>59.554200000000002</v>
      </c>
      <c r="G978" s="8">
        <f>57.5176 * CHOOSE( CONTROL!$C$15, $D$11, 100%, $F$11)</f>
        <v>57.517600000000002</v>
      </c>
      <c r="H978" s="4">
        <f>58.4016 * CHOOSE(CONTROL!$C$15, $D$11, 100%, $F$11)</f>
        <v>58.401600000000002</v>
      </c>
      <c r="I978" s="8">
        <f>56.6776 * CHOOSE(CONTROL!$C$15, $D$11, 100%, $F$11)</f>
        <v>56.677599999999998</v>
      </c>
      <c r="J978" s="4">
        <f>56.5263 * CHOOSE(CONTROL!$C$15, $D$11, 100%, $F$11)</f>
        <v>56.526299999999999</v>
      </c>
      <c r="K978" s="4"/>
      <c r="L978" s="9">
        <v>26.469899999999999</v>
      </c>
      <c r="M978" s="9">
        <v>10.8962</v>
      </c>
      <c r="N978" s="9">
        <v>4.4660000000000002</v>
      </c>
      <c r="O978" s="9">
        <v>0.33789999999999998</v>
      </c>
      <c r="P978" s="9">
        <v>1.1676</v>
      </c>
      <c r="Q978" s="9">
        <v>17.782800000000002</v>
      </c>
      <c r="R978" s="9"/>
      <c r="S978" s="11"/>
    </row>
    <row r="979" spans="1:19" ht="15.75">
      <c r="A979" s="13">
        <v>71314</v>
      </c>
      <c r="B979" s="8">
        <f>57.6504 * CHOOSE(CONTROL!$C$15, $D$11, 100%, $F$11)</f>
        <v>57.650399999999998</v>
      </c>
      <c r="C979" s="8">
        <f>57.6556 * CHOOSE(CONTROL!$C$15, $D$11, 100%, $F$11)</f>
        <v>57.6556</v>
      </c>
      <c r="D979" s="8">
        <f>57.6376 * CHOOSE( CONTROL!$C$15, $D$11, 100%, $F$11)</f>
        <v>57.637599999999999</v>
      </c>
      <c r="E979" s="12">
        <f>57.6436 * CHOOSE( CONTROL!$C$15, $D$11, 100%, $F$11)</f>
        <v>57.643599999999999</v>
      </c>
      <c r="F979" s="4">
        <f>58.3009 * CHOOSE(CONTROL!$C$15, $D$11, 100%, $F$11)</f>
        <v>58.300899999999999</v>
      </c>
      <c r="G979" s="8">
        <f>56.2932 * CHOOSE( CONTROL!$C$15, $D$11, 100%, $F$11)</f>
        <v>56.293199999999999</v>
      </c>
      <c r="H979" s="4">
        <f>57.1775 * CHOOSE(CONTROL!$C$15, $D$11, 100%, $F$11)</f>
        <v>57.177500000000002</v>
      </c>
      <c r="I979" s="8">
        <f>55.4725 * CHOOSE(CONTROL!$C$15, $D$11, 100%, $F$11)</f>
        <v>55.472499999999997</v>
      </c>
      <c r="J979" s="4">
        <f>55.323 * CHOOSE(CONTROL!$C$15, $D$11, 100%, $F$11)</f>
        <v>55.323</v>
      </c>
      <c r="K979" s="4"/>
      <c r="L979" s="9">
        <v>29.306000000000001</v>
      </c>
      <c r="M979" s="9">
        <v>12.063700000000001</v>
      </c>
      <c r="N979" s="9">
        <v>4.9444999999999997</v>
      </c>
      <c r="O979" s="9">
        <v>0.37409999999999999</v>
      </c>
      <c r="P979" s="9">
        <v>1.2927</v>
      </c>
      <c r="Q979" s="9">
        <v>19.688099999999999</v>
      </c>
      <c r="R979" s="9"/>
      <c r="S979" s="11"/>
    </row>
    <row r="980" spans="1:19" ht="15.75">
      <c r="A980" s="13">
        <v>71344</v>
      </c>
      <c r="B980" s="8">
        <f>58.527 * CHOOSE(CONTROL!$C$15, $D$11, 100%, $F$11)</f>
        <v>58.527000000000001</v>
      </c>
      <c r="C980" s="8">
        <f>58.5316 * CHOOSE(CONTROL!$C$15, $D$11, 100%, $F$11)</f>
        <v>58.531599999999997</v>
      </c>
      <c r="D980" s="8">
        <f>58.5627 * CHOOSE( CONTROL!$C$15, $D$11, 100%, $F$11)</f>
        <v>58.5627</v>
      </c>
      <c r="E980" s="12">
        <f>58.5519 * CHOOSE( CONTROL!$C$15, $D$11, 100%, $F$11)</f>
        <v>58.551900000000003</v>
      </c>
      <c r="F980" s="4">
        <f>59.2408 * CHOOSE(CONTROL!$C$15, $D$11, 100%, $F$11)</f>
        <v>59.2408</v>
      </c>
      <c r="G980" s="8">
        <f>57.1495 * CHOOSE( CONTROL!$C$15, $D$11, 100%, $F$11)</f>
        <v>57.149500000000003</v>
      </c>
      <c r="H980" s="4">
        <f>58.0954 * CHOOSE(CONTROL!$C$15, $D$11, 100%, $F$11)</f>
        <v>58.095399999999998</v>
      </c>
      <c r="I980" s="8">
        <f>56.3043 * CHOOSE(CONTROL!$C$15, $D$11, 100%, $F$11)</f>
        <v>56.304299999999998</v>
      </c>
      <c r="J980" s="4">
        <f>56.1639 * CHOOSE(CONTROL!$C$15, $D$11, 100%, $F$11)</f>
        <v>56.163899999999998</v>
      </c>
      <c r="K980" s="4"/>
      <c r="L980" s="9">
        <v>30.092199999999998</v>
      </c>
      <c r="M980" s="9">
        <v>11.6745</v>
      </c>
      <c r="N980" s="9">
        <v>4.7850000000000001</v>
      </c>
      <c r="O980" s="9">
        <v>0.36199999999999999</v>
      </c>
      <c r="P980" s="9">
        <v>1.1791</v>
      </c>
      <c r="Q980" s="9">
        <v>19.053000000000001</v>
      </c>
      <c r="R980" s="9"/>
      <c r="S980" s="11"/>
    </row>
    <row r="981" spans="1:19" ht="15.75">
      <c r="A981" s="13">
        <v>71375</v>
      </c>
      <c r="B981" s="8">
        <f>CHOOSE( CONTROL!$C$32, 60.0926, 60.0871) * CHOOSE(CONTROL!$C$15, $D$11, 100%, $F$11)</f>
        <v>60.092599999999997</v>
      </c>
      <c r="C981" s="8">
        <f>CHOOSE( CONTROL!$C$32, 60.1007, 60.0952) * CHOOSE(CONTROL!$C$15, $D$11, 100%, $F$11)</f>
        <v>60.100700000000003</v>
      </c>
      <c r="D981" s="8">
        <f>CHOOSE( CONTROL!$C$32, 60.1267, 60.1211) * CHOOSE( CONTROL!$C$15, $D$11, 100%, $F$11)</f>
        <v>60.1267</v>
      </c>
      <c r="E981" s="12">
        <f>CHOOSE( CONTROL!$C$32, 60.116, 60.1105) * CHOOSE( CONTROL!$C$15, $D$11, 100%, $F$11)</f>
        <v>60.116</v>
      </c>
      <c r="F981" s="4">
        <f>CHOOSE( CONTROL!$C$32, 60.805, 60.7995) * CHOOSE(CONTROL!$C$15, $D$11, 100%, $F$11)</f>
        <v>60.805</v>
      </c>
      <c r="G981" s="8">
        <f>CHOOSE( CONTROL!$C$32, 58.6784, 58.673) * CHOOSE( CONTROL!$C$15, $D$11, 100%, $F$11)</f>
        <v>58.678400000000003</v>
      </c>
      <c r="H981" s="4">
        <f>CHOOSE( CONTROL!$C$32, 59.6233, 59.6178) * CHOOSE(CONTROL!$C$15, $D$11, 100%, $F$11)</f>
        <v>59.6233</v>
      </c>
      <c r="I981" s="8">
        <f>CHOOSE( CONTROL!$C$32, 57.8068, 57.8015) * CHOOSE(CONTROL!$C$15, $D$11, 100%, $F$11)</f>
        <v>57.806800000000003</v>
      </c>
      <c r="J981" s="4">
        <f>CHOOSE( CONTROL!$C$32, 57.6657, 57.6604) * CHOOSE(CONTROL!$C$15, $D$11, 100%, $F$11)</f>
        <v>57.665700000000001</v>
      </c>
      <c r="K981" s="4"/>
      <c r="L981" s="9">
        <v>30.7165</v>
      </c>
      <c r="M981" s="9">
        <v>12.063700000000001</v>
      </c>
      <c r="N981" s="9">
        <v>4.9444999999999997</v>
      </c>
      <c r="O981" s="9">
        <v>0.37409999999999999</v>
      </c>
      <c r="P981" s="9">
        <v>1.2183999999999999</v>
      </c>
      <c r="Q981" s="9">
        <v>19.688099999999999</v>
      </c>
      <c r="R981" s="9"/>
      <c r="S981" s="11"/>
    </row>
    <row r="982" spans="1:19" ht="15.75">
      <c r="A982" s="13">
        <v>71405</v>
      </c>
      <c r="B982" s="8">
        <f>CHOOSE( CONTROL!$C$32, 59.1271, 59.1215) * CHOOSE(CONTROL!$C$15, $D$11, 100%, $F$11)</f>
        <v>59.127099999999999</v>
      </c>
      <c r="C982" s="8">
        <f>CHOOSE( CONTROL!$C$32, 59.1352, 59.1296) * CHOOSE(CONTROL!$C$15, $D$11, 100%, $F$11)</f>
        <v>59.135199999999998</v>
      </c>
      <c r="D982" s="8">
        <f>CHOOSE( CONTROL!$C$32, 59.1613, 59.1557) * CHOOSE( CONTROL!$C$15, $D$11, 100%, $F$11)</f>
        <v>59.161299999999997</v>
      </c>
      <c r="E982" s="12">
        <f>CHOOSE( CONTROL!$C$32, 59.1506, 59.145) * CHOOSE( CONTROL!$C$15, $D$11, 100%, $F$11)</f>
        <v>59.150599999999997</v>
      </c>
      <c r="F982" s="4">
        <f>CHOOSE( CONTROL!$C$32, 59.8395, 59.8339) * CHOOSE(CONTROL!$C$15, $D$11, 100%, $F$11)</f>
        <v>59.839500000000001</v>
      </c>
      <c r="G982" s="8">
        <f>CHOOSE( CONTROL!$C$32, 57.7356, 57.7302) * CHOOSE( CONTROL!$C$15, $D$11, 100%, $F$11)</f>
        <v>57.735599999999998</v>
      </c>
      <c r="H982" s="4">
        <f>CHOOSE( CONTROL!$C$32, 58.6802, 58.6748) * CHOOSE(CONTROL!$C$15, $D$11, 100%, $F$11)</f>
        <v>58.680199999999999</v>
      </c>
      <c r="I982" s="8">
        <f>CHOOSE( CONTROL!$C$32, 56.8801, 56.8748) * CHOOSE(CONTROL!$C$15, $D$11, 100%, $F$11)</f>
        <v>56.880099999999999</v>
      </c>
      <c r="J982" s="4">
        <f>CHOOSE( CONTROL!$C$32, 56.7387, 56.7333) * CHOOSE(CONTROL!$C$15, $D$11, 100%, $F$11)</f>
        <v>56.738700000000001</v>
      </c>
      <c r="K982" s="4"/>
      <c r="L982" s="9">
        <v>29.7257</v>
      </c>
      <c r="M982" s="9">
        <v>11.6745</v>
      </c>
      <c r="N982" s="9">
        <v>4.7850000000000001</v>
      </c>
      <c r="O982" s="9">
        <v>0.36199999999999999</v>
      </c>
      <c r="P982" s="9">
        <v>1.1791</v>
      </c>
      <c r="Q982" s="9">
        <v>19.053000000000001</v>
      </c>
      <c r="R982" s="9"/>
      <c r="S982" s="11"/>
    </row>
    <row r="983" spans="1:19" ht="15.75">
      <c r="A983" s="13">
        <v>71436</v>
      </c>
      <c r="B983" s="8">
        <f>CHOOSE( CONTROL!$C$32, 61.6698, 61.6642) * CHOOSE(CONTROL!$C$15, $D$11, 100%, $F$11)</f>
        <v>61.669800000000002</v>
      </c>
      <c r="C983" s="8">
        <f>CHOOSE( CONTROL!$C$32, 61.6779, 61.6723) * CHOOSE(CONTROL!$C$15, $D$11, 100%, $F$11)</f>
        <v>61.677900000000001</v>
      </c>
      <c r="D983" s="8">
        <f>CHOOSE( CONTROL!$C$32, 61.7042, 61.6986) * CHOOSE( CONTROL!$C$15, $D$11, 100%, $F$11)</f>
        <v>61.7042</v>
      </c>
      <c r="E983" s="12">
        <f>CHOOSE( CONTROL!$C$32, 61.6934, 61.6878) * CHOOSE( CONTROL!$C$15, $D$11, 100%, $F$11)</f>
        <v>61.693399999999997</v>
      </c>
      <c r="F983" s="4">
        <f>CHOOSE( CONTROL!$C$32, 62.3822, 62.3766) * CHOOSE(CONTROL!$C$15, $D$11, 100%, $F$11)</f>
        <v>62.382199999999997</v>
      </c>
      <c r="G983" s="8">
        <f>CHOOSE( CONTROL!$C$32, 60.2194, 60.2139) * CHOOSE( CONTROL!$C$15, $D$11, 100%, $F$11)</f>
        <v>60.2194</v>
      </c>
      <c r="H983" s="4">
        <f>CHOOSE( CONTROL!$C$32, 61.1637, 61.1582) * CHOOSE(CONTROL!$C$15, $D$11, 100%, $F$11)</f>
        <v>61.163699999999999</v>
      </c>
      <c r="I983" s="8">
        <f>CHOOSE( CONTROL!$C$32, 59.3236, 59.3182) * CHOOSE(CONTROL!$C$15, $D$11, 100%, $F$11)</f>
        <v>59.323599999999999</v>
      </c>
      <c r="J983" s="4">
        <f>CHOOSE( CONTROL!$C$32, 59.1799, 59.1746) * CHOOSE(CONTROL!$C$15, $D$11, 100%, $F$11)</f>
        <v>59.179900000000004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1.2183999999999999</v>
      </c>
      <c r="Q983" s="9">
        <v>19.688099999999999</v>
      </c>
      <c r="R983" s="9"/>
      <c r="S983" s="11"/>
    </row>
    <row r="984" spans="1:19" ht="15.75">
      <c r="A984" s="13">
        <v>71467</v>
      </c>
      <c r="B984" s="8">
        <f>CHOOSE( CONTROL!$C$32, 56.9121, 56.9065) * CHOOSE(CONTROL!$C$15, $D$11, 100%, $F$11)</f>
        <v>56.912100000000002</v>
      </c>
      <c r="C984" s="8">
        <f>CHOOSE( CONTROL!$C$32, 56.9202, 56.9146) * CHOOSE(CONTROL!$C$15, $D$11, 100%, $F$11)</f>
        <v>56.920200000000001</v>
      </c>
      <c r="D984" s="8">
        <f>CHOOSE( CONTROL!$C$32, 56.9466, 56.941) * CHOOSE( CONTROL!$C$15, $D$11, 100%, $F$11)</f>
        <v>56.946599999999997</v>
      </c>
      <c r="E984" s="12">
        <f>CHOOSE( CONTROL!$C$32, 56.9358, 56.9302) * CHOOSE( CONTROL!$C$15, $D$11, 100%, $F$11)</f>
        <v>56.9358</v>
      </c>
      <c r="F984" s="4">
        <f>CHOOSE( CONTROL!$C$32, 57.6245, 57.6189) * CHOOSE(CONTROL!$C$15, $D$11, 100%, $F$11)</f>
        <v>57.624499999999998</v>
      </c>
      <c r="G984" s="8">
        <f>CHOOSE( CONTROL!$C$32, 55.5726, 55.5672) * CHOOSE( CONTROL!$C$15, $D$11, 100%, $F$11)</f>
        <v>55.572600000000001</v>
      </c>
      <c r="H984" s="4">
        <f>CHOOSE( CONTROL!$C$32, 56.5168, 56.5114) * CHOOSE(CONTROL!$C$15, $D$11, 100%, $F$11)</f>
        <v>56.516800000000003</v>
      </c>
      <c r="I984" s="8">
        <f>CHOOSE( CONTROL!$C$32, 54.7537, 54.7484) * CHOOSE(CONTROL!$C$15, $D$11, 100%, $F$11)</f>
        <v>54.753700000000002</v>
      </c>
      <c r="J984" s="4">
        <f>CHOOSE( CONTROL!$C$32, 54.6121, 54.6067) * CHOOSE(CONTROL!$C$15, $D$11, 100%, $F$11)</f>
        <v>54.612099999999998</v>
      </c>
      <c r="K984" s="4"/>
      <c r="L984" s="9">
        <v>30.7165</v>
      </c>
      <c r="M984" s="9">
        <v>12.063700000000001</v>
      </c>
      <c r="N984" s="9">
        <v>4.9444999999999997</v>
      </c>
      <c r="O984" s="9">
        <v>0.37409999999999999</v>
      </c>
      <c r="P984" s="9">
        <v>1.2183999999999999</v>
      </c>
      <c r="Q984" s="9">
        <v>19.688099999999999</v>
      </c>
      <c r="R984" s="9"/>
      <c r="S984" s="11"/>
    </row>
    <row r="985" spans="1:19" ht="15.75">
      <c r="A985" s="13">
        <v>71497</v>
      </c>
      <c r="B985" s="8">
        <f>CHOOSE( CONTROL!$C$32, 55.7207, 55.7152) * CHOOSE(CONTROL!$C$15, $D$11, 100%, $F$11)</f>
        <v>55.720700000000001</v>
      </c>
      <c r="C985" s="8">
        <f>CHOOSE( CONTROL!$C$32, 55.7288, 55.7232) * CHOOSE(CONTROL!$C$15, $D$11, 100%, $F$11)</f>
        <v>55.7288</v>
      </c>
      <c r="D985" s="8">
        <f>CHOOSE( CONTROL!$C$32, 55.7552, 55.7496) * CHOOSE( CONTROL!$C$15, $D$11, 100%, $F$11)</f>
        <v>55.755200000000002</v>
      </c>
      <c r="E985" s="12">
        <f>CHOOSE( CONTROL!$C$32, 55.7444, 55.7388) * CHOOSE( CONTROL!$C$15, $D$11, 100%, $F$11)</f>
        <v>55.744399999999999</v>
      </c>
      <c r="F985" s="4">
        <f>CHOOSE( CONTROL!$C$32, 56.4331, 56.4276) * CHOOSE(CONTROL!$C$15, $D$11, 100%, $F$11)</f>
        <v>56.433100000000003</v>
      </c>
      <c r="G985" s="8">
        <f>CHOOSE( CONTROL!$C$32, 54.4089, 54.4035) * CHOOSE( CONTROL!$C$15, $D$11, 100%, $F$11)</f>
        <v>54.408900000000003</v>
      </c>
      <c r="H985" s="4">
        <f>CHOOSE( CONTROL!$C$32, 55.3532, 55.3478) * CHOOSE(CONTROL!$C$15, $D$11, 100%, $F$11)</f>
        <v>55.353200000000001</v>
      </c>
      <c r="I985" s="8">
        <f>CHOOSE( CONTROL!$C$32, 53.6091, 53.6037) * CHOOSE(CONTROL!$C$15, $D$11, 100%, $F$11)</f>
        <v>53.609099999999998</v>
      </c>
      <c r="J985" s="4">
        <f>CHOOSE( CONTROL!$C$32, 53.4682, 53.4629) * CHOOSE(CONTROL!$C$15, $D$11, 100%, $F$11)</f>
        <v>53.468200000000003</v>
      </c>
      <c r="K985" s="4"/>
      <c r="L985" s="9">
        <v>29.7257</v>
      </c>
      <c r="M985" s="9">
        <v>11.6745</v>
      </c>
      <c r="N985" s="9">
        <v>4.7850000000000001</v>
      </c>
      <c r="O985" s="9">
        <v>0.36199999999999999</v>
      </c>
      <c r="P985" s="9">
        <v>1.1791</v>
      </c>
      <c r="Q985" s="9">
        <v>19.053000000000001</v>
      </c>
      <c r="R985" s="9"/>
      <c r="S985" s="11"/>
    </row>
    <row r="986" spans="1:19" ht="15.75">
      <c r="A986" s="13">
        <v>71528</v>
      </c>
      <c r="B986" s="8">
        <f>58.1871 * CHOOSE(CONTROL!$C$15, $D$11, 100%, $F$11)</f>
        <v>58.187100000000001</v>
      </c>
      <c r="C986" s="8">
        <f>58.1926 * CHOOSE(CONTROL!$C$15, $D$11, 100%, $F$11)</f>
        <v>58.192599999999999</v>
      </c>
      <c r="D986" s="8">
        <f>58.2238 * CHOOSE( CONTROL!$C$15, $D$11, 100%, $F$11)</f>
        <v>58.223799999999997</v>
      </c>
      <c r="E986" s="12">
        <f>58.2129 * CHOOSE( CONTROL!$C$15, $D$11, 100%, $F$11)</f>
        <v>58.212899999999998</v>
      </c>
      <c r="F986" s="4">
        <f>58.9013 * CHOOSE(CONTROL!$C$15, $D$11, 100%, $F$11)</f>
        <v>58.901299999999999</v>
      </c>
      <c r="G986" s="8">
        <f>56.8187 * CHOOSE( CONTROL!$C$15, $D$11, 100%, $F$11)</f>
        <v>56.8187</v>
      </c>
      <c r="H986" s="4">
        <f>57.7639 * CHOOSE(CONTROL!$C$15, $D$11, 100%, $F$11)</f>
        <v>57.7639</v>
      </c>
      <c r="I986" s="8">
        <f>55.9808 * CHOOSE(CONTROL!$C$15, $D$11, 100%, $F$11)</f>
        <v>55.980800000000002</v>
      </c>
      <c r="J986" s="4">
        <f>55.8379 * CHOOSE(CONTROL!$C$15, $D$11, 100%, $F$11)</f>
        <v>55.837899999999998</v>
      </c>
      <c r="K986" s="4"/>
      <c r="L986" s="9">
        <v>31.095300000000002</v>
      </c>
      <c r="M986" s="9">
        <v>12.063700000000001</v>
      </c>
      <c r="N986" s="9">
        <v>4.9444999999999997</v>
      </c>
      <c r="O986" s="9">
        <v>0.37409999999999999</v>
      </c>
      <c r="P986" s="9">
        <v>1.2183999999999999</v>
      </c>
      <c r="Q986" s="9">
        <v>19.688099999999999</v>
      </c>
      <c r="R986" s="9"/>
      <c r="S986" s="11"/>
    </row>
    <row r="987" spans="1:19" ht="15.75">
      <c r="A987" s="13">
        <v>71558</v>
      </c>
      <c r="B987" s="8">
        <f>62.7527 * CHOOSE(CONTROL!$C$15, $D$11, 100%, $F$11)</f>
        <v>62.752699999999997</v>
      </c>
      <c r="C987" s="8">
        <f>62.7579 * CHOOSE(CONTROL!$C$15, $D$11, 100%, $F$11)</f>
        <v>62.757899999999999</v>
      </c>
      <c r="D987" s="8">
        <f>62.7441 * CHOOSE( CONTROL!$C$15, $D$11, 100%, $F$11)</f>
        <v>62.744100000000003</v>
      </c>
      <c r="E987" s="12">
        <f>62.7486 * CHOOSE( CONTROL!$C$15, $D$11, 100%, $F$11)</f>
        <v>62.748600000000003</v>
      </c>
      <c r="F987" s="4">
        <f>63.4032 * CHOOSE(CONTROL!$C$15, $D$11, 100%, $F$11)</f>
        <v>63.403199999999998</v>
      </c>
      <c r="G987" s="8">
        <f>61.2859 * CHOOSE( CONTROL!$C$15, $D$11, 100%, $F$11)</f>
        <v>61.285899999999998</v>
      </c>
      <c r="H987" s="4">
        <f>62.1609 * CHOOSE(CONTROL!$C$15, $D$11, 100%, $F$11)</f>
        <v>62.160899999999998</v>
      </c>
      <c r="I987" s="8">
        <f>60.4104 * CHOOSE(CONTROL!$C$15, $D$11, 100%, $F$11)</f>
        <v>60.410400000000003</v>
      </c>
      <c r="J987" s="4">
        <f>60.2217 * CHOOSE(CONTROL!$C$15, $D$11, 100%, $F$11)</f>
        <v>60.221699999999998</v>
      </c>
      <c r="K987" s="4"/>
      <c r="L987" s="9">
        <v>28.360600000000002</v>
      </c>
      <c r="M987" s="9">
        <v>11.6745</v>
      </c>
      <c r="N987" s="9">
        <v>4.7850000000000001</v>
      </c>
      <c r="O987" s="9">
        <v>0.36199999999999999</v>
      </c>
      <c r="P987" s="9">
        <v>1.2509999999999999</v>
      </c>
      <c r="Q987" s="9">
        <v>19.053000000000001</v>
      </c>
      <c r="R987" s="9"/>
      <c r="S987" s="11"/>
    </row>
    <row r="988" spans="1:19" ht="15.75">
      <c r="A988" s="13">
        <v>71589</v>
      </c>
      <c r="B988" s="8">
        <f>62.6386 * CHOOSE(CONTROL!$C$15, $D$11, 100%, $F$11)</f>
        <v>62.638599999999997</v>
      </c>
      <c r="C988" s="8">
        <f>62.6438 * CHOOSE(CONTROL!$C$15, $D$11, 100%, $F$11)</f>
        <v>62.643799999999999</v>
      </c>
      <c r="D988" s="8">
        <f>62.6315 * CHOOSE( CONTROL!$C$15, $D$11, 100%, $F$11)</f>
        <v>62.631500000000003</v>
      </c>
      <c r="E988" s="12">
        <f>62.6354 * CHOOSE( CONTROL!$C$15, $D$11, 100%, $F$11)</f>
        <v>62.635399999999997</v>
      </c>
      <c r="F988" s="4">
        <f>63.2891 * CHOOSE(CONTROL!$C$15, $D$11, 100%, $F$11)</f>
        <v>63.289099999999998</v>
      </c>
      <c r="G988" s="8">
        <f>61.1756 * CHOOSE( CONTROL!$C$15, $D$11, 100%, $F$11)</f>
        <v>61.175600000000003</v>
      </c>
      <c r="H988" s="4">
        <f>62.0495 * CHOOSE(CONTROL!$C$15, $D$11, 100%, $F$11)</f>
        <v>62.049500000000002</v>
      </c>
      <c r="I988" s="8">
        <f>60.3056 * CHOOSE(CONTROL!$C$15, $D$11, 100%, $F$11)</f>
        <v>60.305599999999998</v>
      </c>
      <c r="J988" s="4">
        <f>60.1122 * CHOOSE(CONTROL!$C$15, $D$11, 100%, $F$11)</f>
        <v>60.112200000000001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71620</v>
      </c>
      <c r="B989" s="8">
        <f>65.0316 * CHOOSE(CONTROL!$C$15, $D$11, 100%, $F$11)</f>
        <v>65.031599999999997</v>
      </c>
      <c r="C989" s="8">
        <f>65.0367 * CHOOSE(CONTROL!$C$15, $D$11, 100%, $F$11)</f>
        <v>65.036699999999996</v>
      </c>
      <c r="D989" s="8">
        <f>65.0192 * CHOOSE( CONTROL!$C$15, $D$11, 100%, $F$11)</f>
        <v>65.019199999999998</v>
      </c>
      <c r="E989" s="12">
        <f>65.0251 * CHOOSE( CONTROL!$C$15, $D$11, 100%, $F$11)</f>
        <v>65.025099999999995</v>
      </c>
      <c r="F989" s="4">
        <f>65.682 * CHOOSE(CONTROL!$C$15, $D$11, 100%, $F$11)</f>
        <v>65.682000000000002</v>
      </c>
      <c r="G989" s="8">
        <f>63.5027 * CHOOSE( CONTROL!$C$15, $D$11, 100%, $F$11)</f>
        <v>63.502699999999997</v>
      </c>
      <c r="H989" s="4">
        <f>64.3867 * CHOOSE(CONTROL!$C$15, $D$11, 100%, $F$11)</f>
        <v>64.386700000000005</v>
      </c>
      <c r="I989" s="8">
        <f>62.564 * CHOOSE(CONTROL!$C$15, $D$11, 100%, $F$11)</f>
        <v>62.564</v>
      </c>
      <c r="J989" s="4">
        <f>62.4096 * CHOOSE(CONTROL!$C$15, $D$11, 100%, $F$11)</f>
        <v>62.409599999999998</v>
      </c>
      <c r="K989" s="4"/>
      <c r="L989" s="9">
        <v>29.306000000000001</v>
      </c>
      <c r="M989" s="9">
        <v>12.063700000000001</v>
      </c>
      <c r="N989" s="9">
        <v>4.9444999999999997</v>
      </c>
      <c r="O989" s="9">
        <v>0.37409999999999999</v>
      </c>
      <c r="P989" s="9">
        <v>1.2927</v>
      </c>
      <c r="Q989" s="9">
        <v>19.688099999999999</v>
      </c>
      <c r="R989" s="9"/>
      <c r="S989" s="11"/>
    </row>
    <row r="990" spans="1:19" ht="15.75">
      <c r="A990" s="13">
        <v>71649</v>
      </c>
      <c r="B990" s="8">
        <f>60.8292 * CHOOSE(CONTROL!$C$15, $D$11, 100%, $F$11)</f>
        <v>60.8292</v>
      </c>
      <c r="C990" s="8">
        <f>60.8344 * CHOOSE(CONTROL!$C$15, $D$11, 100%, $F$11)</f>
        <v>60.834400000000002</v>
      </c>
      <c r="D990" s="8">
        <f>60.8168 * CHOOSE( CONTROL!$C$15, $D$11, 100%, $F$11)</f>
        <v>60.816800000000001</v>
      </c>
      <c r="E990" s="12">
        <f>60.8227 * CHOOSE( CONTROL!$C$15, $D$11, 100%, $F$11)</f>
        <v>60.822699999999998</v>
      </c>
      <c r="F990" s="4">
        <f>61.4797 * CHOOSE(CONTROL!$C$15, $D$11, 100%, $F$11)</f>
        <v>61.479700000000001</v>
      </c>
      <c r="G990" s="8">
        <f>59.3982 * CHOOSE( CONTROL!$C$15, $D$11, 100%, $F$11)</f>
        <v>59.398200000000003</v>
      </c>
      <c r="H990" s="4">
        <f>60.2822 * CHOOSE(CONTROL!$C$15, $D$11, 100%, $F$11)</f>
        <v>60.282200000000003</v>
      </c>
      <c r="I990" s="8">
        <f>58.5272 * CHOOSE(CONTROL!$C$15, $D$11, 100%, $F$11)</f>
        <v>58.527200000000001</v>
      </c>
      <c r="J990" s="4">
        <f>58.3749 * CHOOSE(CONTROL!$C$15, $D$11, 100%, $F$11)</f>
        <v>58.374899999999997</v>
      </c>
      <c r="K990" s="4"/>
      <c r="L990" s="9">
        <v>27.415299999999998</v>
      </c>
      <c r="M990" s="9">
        <v>11.285299999999999</v>
      </c>
      <c r="N990" s="9">
        <v>4.6254999999999997</v>
      </c>
      <c r="O990" s="9">
        <v>0.34989999999999999</v>
      </c>
      <c r="P990" s="9">
        <v>1.2093</v>
      </c>
      <c r="Q990" s="9">
        <v>18.417899999999999</v>
      </c>
      <c r="R990" s="9"/>
      <c r="S990" s="11"/>
    </row>
    <row r="991" spans="1:19" ht="15.75">
      <c r="A991" s="13">
        <v>71680</v>
      </c>
      <c r="B991" s="8">
        <f>59.5349 * CHOOSE(CONTROL!$C$15, $D$11, 100%, $F$11)</f>
        <v>59.5349</v>
      </c>
      <c r="C991" s="8">
        <f>59.5401 * CHOOSE(CONTROL!$C$15, $D$11, 100%, $F$11)</f>
        <v>59.540100000000002</v>
      </c>
      <c r="D991" s="8">
        <f>59.5221 * CHOOSE( CONTROL!$C$15, $D$11, 100%, $F$11)</f>
        <v>59.522100000000002</v>
      </c>
      <c r="E991" s="12">
        <f>59.5281 * CHOOSE( CONTROL!$C$15, $D$11, 100%, $F$11)</f>
        <v>59.528100000000002</v>
      </c>
      <c r="F991" s="4">
        <f>60.1854 * CHOOSE(CONTROL!$C$15, $D$11, 100%, $F$11)</f>
        <v>60.185400000000001</v>
      </c>
      <c r="G991" s="8">
        <f>58.1338 * CHOOSE( CONTROL!$C$15, $D$11, 100%, $F$11)</f>
        <v>58.133800000000001</v>
      </c>
      <c r="H991" s="4">
        <f>59.018 * CHOOSE(CONTROL!$C$15, $D$11, 100%, $F$11)</f>
        <v>59.018000000000001</v>
      </c>
      <c r="I991" s="8">
        <f>57.2827 * CHOOSE(CONTROL!$C$15, $D$11, 100%, $F$11)</f>
        <v>57.282699999999998</v>
      </c>
      <c r="J991" s="4">
        <f>57.1323 * CHOOSE(CONTROL!$C$15, $D$11, 100%, $F$11)</f>
        <v>57.132300000000001</v>
      </c>
      <c r="K991" s="4"/>
      <c r="L991" s="9">
        <v>29.306000000000001</v>
      </c>
      <c r="M991" s="9">
        <v>12.063700000000001</v>
      </c>
      <c r="N991" s="9">
        <v>4.9444999999999997</v>
      </c>
      <c r="O991" s="9">
        <v>0.37409999999999999</v>
      </c>
      <c r="P991" s="9">
        <v>1.2927</v>
      </c>
      <c r="Q991" s="9">
        <v>19.688099999999999</v>
      </c>
      <c r="R991" s="9"/>
      <c r="S991" s="11"/>
    </row>
    <row r="992" spans="1:19" ht="15.75">
      <c r="A992" s="13">
        <v>71710</v>
      </c>
      <c r="B992" s="8">
        <f>60.4401 * CHOOSE(CONTROL!$C$15, $D$11, 100%, $F$11)</f>
        <v>60.440100000000001</v>
      </c>
      <c r="C992" s="8">
        <f>60.4447 * CHOOSE(CONTROL!$C$15, $D$11, 100%, $F$11)</f>
        <v>60.444699999999997</v>
      </c>
      <c r="D992" s="8">
        <f>60.4758 * CHOOSE( CONTROL!$C$15, $D$11, 100%, $F$11)</f>
        <v>60.4758</v>
      </c>
      <c r="E992" s="12">
        <f>60.465 * CHOOSE( CONTROL!$C$15, $D$11, 100%, $F$11)</f>
        <v>60.465000000000003</v>
      </c>
      <c r="F992" s="4">
        <f>61.1539 * CHOOSE(CONTROL!$C$15, $D$11, 100%, $F$11)</f>
        <v>61.1539</v>
      </c>
      <c r="G992" s="8">
        <f>59.018 * CHOOSE( CONTROL!$C$15, $D$11, 100%, $F$11)</f>
        <v>59.018000000000001</v>
      </c>
      <c r="H992" s="4">
        <f>59.964 * CHOOSE(CONTROL!$C$15, $D$11, 100%, $F$11)</f>
        <v>59.963999999999999</v>
      </c>
      <c r="I992" s="8">
        <f>58.142 * CHOOSE(CONTROL!$C$15, $D$11, 100%, $F$11)</f>
        <v>58.142000000000003</v>
      </c>
      <c r="J992" s="4">
        <f>58.0006 * CHOOSE(CONTROL!$C$15, $D$11, 100%, $F$11)</f>
        <v>58.000599999999999</v>
      </c>
      <c r="K992" s="4"/>
      <c r="L992" s="9">
        <v>30.092199999999998</v>
      </c>
      <c r="M992" s="9">
        <v>11.6745</v>
      </c>
      <c r="N992" s="9">
        <v>4.7850000000000001</v>
      </c>
      <c r="O992" s="9">
        <v>0.36199999999999999</v>
      </c>
      <c r="P992" s="9">
        <v>1.1791</v>
      </c>
      <c r="Q992" s="9">
        <v>19.053000000000001</v>
      </c>
      <c r="R992" s="9"/>
      <c r="S992" s="11"/>
    </row>
    <row r="993" spans="1:19" ht="15.75">
      <c r="A993" s="13">
        <v>71741</v>
      </c>
      <c r="B993" s="8">
        <f>CHOOSE( CONTROL!$C$32, 62.0567, 62.0512) * CHOOSE(CONTROL!$C$15, $D$11, 100%, $F$11)</f>
        <v>62.056699999999999</v>
      </c>
      <c r="C993" s="8">
        <f>CHOOSE( CONTROL!$C$32, 62.0648, 62.0592) * CHOOSE(CONTROL!$C$15, $D$11, 100%, $F$11)</f>
        <v>62.064799999999998</v>
      </c>
      <c r="D993" s="8">
        <f>CHOOSE( CONTROL!$C$32, 62.0908, 62.0852) * CHOOSE( CONTROL!$C$15, $D$11, 100%, $F$11)</f>
        <v>62.090800000000002</v>
      </c>
      <c r="E993" s="12">
        <f>CHOOSE( CONTROL!$C$32, 62.0801, 62.0746) * CHOOSE( CONTROL!$C$15, $D$11, 100%, $F$11)</f>
        <v>62.080100000000002</v>
      </c>
      <c r="F993" s="4">
        <f>CHOOSE( CONTROL!$C$32, 62.7691, 62.7635) * CHOOSE(CONTROL!$C$15, $D$11, 100%, $F$11)</f>
        <v>62.769100000000002</v>
      </c>
      <c r="G993" s="8">
        <f>CHOOSE( CONTROL!$C$32, 60.5967, 60.5913) * CHOOSE( CONTROL!$C$15, $D$11, 100%, $F$11)</f>
        <v>60.596699999999998</v>
      </c>
      <c r="H993" s="4">
        <f>CHOOSE( CONTROL!$C$32, 61.5416, 61.5362) * CHOOSE(CONTROL!$C$15, $D$11, 100%, $F$11)</f>
        <v>61.541600000000003</v>
      </c>
      <c r="I993" s="8">
        <f>CHOOSE( CONTROL!$C$32, 59.6935, 59.6881) * CHOOSE(CONTROL!$C$15, $D$11, 100%, $F$11)</f>
        <v>59.6935</v>
      </c>
      <c r="J993" s="4">
        <f>CHOOSE( CONTROL!$C$32, 59.5514, 59.5461) * CHOOSE(CONTROL!$C$15, $D$11, 100%, $F$11)</f>
        <v>59.551400000000001</v>
      </c>
      <c r="K993" s="4"/>
      <c r="L993" s="9">
        <v>30.7165</v>
      </c>
      <c r="M993" s="9">
        <v>12.063700000000001</v>
      </c>
      <c r="N993" s="9">
        <v>4.9444999999999997</v>
      </c>
      <c r="O993" s="9">
        <v>0.37409999999999999</v>
      </c>
      <c r="P993" s="9">
        <v>1.2183999999999999</v>
      </c>
      <c r="Q993" s="9">
        <v>19.688099999999999</v>
      </c>
      <c r="R993" s="9"/>
      <c r="S993" s="11"/>
    </row>
    <row r="994" spans="1:19" ht="15.75">
      <c r="A994" s="13">
        <v>71771</v>
      </c>
      <c r="B994" s="8">
        <f>CHOOSE( CONTROL!$C$32, 61.0596, 61.054) * CHOOSE(CONTROL!$C$15, $D$11, 100%, $F$11)</f>
        <v>61.059600000000003</v>
      </c>
      <c r="C994" s="8">
        <f>CHOOSE( CONTROL!$C$32, 61.0677, 61.0621) * CHOOSE(CONTROL!$C$15, $D$11, 100%, $F$11)</f>
        <v>61.067700000000002</v>
      </c>
      <c r="D994" s="8">
        <f>CHOOSE( CONTROL!$C$32, 61.0938, 61.0882) * CHOOSE( CONTROL!$C$15, $D$11, 100%, $F$11)</f>
        <v>61.093800000000002</v>
      </c>
      <c r="E994" s="12">
        <f>CHOOSE( CONTROL!$C$32, 61.0831, 61.0775) * CHOOSE( CONTROL!$C$15, $D$11, 100%, $F$11)</f>
        <v>61.083100000000002</v>
      </c>
      <c r="F994" s="4">
        <f>CHOOSE( CONTROL!$C$32, 61.772, 61.7664) * CHOOSE(CONTROL!$C$15, $D$11, 100%, $F$11)</f>
        <v>61.771999999999998</v>
      </c>
      <c r="G994" s="8">
        <f>CHOOSE( CONTROL!$C$32, 59.6231, 59.6176) * CHOOSE( CONTROL!$C$15, $D$11, 100%, $F$11)</f>
        <v>59.623100000000001</v>
      </c>
      <c r="H994" s="4">
        <f>CHOOSE( CONTROL!$C$32, 60.5677, 60.5622) * CHOOSE(CONTROL!$C$15, $D$11, 100%, $F$11)</f>
        <v>60.567700000000002</v>
      </c>
      <c r="I994" s="8">
        <f>CHOOSE( CONTROL!$C$32, 58.7365, 58.7311) * CHOOSE(CONTROL!$C$15, $D$11, 100%, $F$11)</f>
        <v>58.736499999999999</v>
      </c>
      <c r="J994" s="4">
        <f>CHOOSE( CONTROL!$C$32, 58.5941, 58.5887) * CHOOSE(CONTROL!$C$15, $D$11, 100%, $F$11)</f>
        <v>58.594099999999997</v>
      </c>
      <c r="K994" s="4"/>
      <c r="L994" s="9">
        <v>29.7257</v>
      </c>
      <c r="M994" s="9">
        <v>11.6745</v>
      </c>
      <c r="N994" s="9">
        <v>4.7850000000000001</v>
      </c>
      <c r="O994" s="9">
        <v>0.36199999999999999</v>
      </c>
      <c r="P994" s="9">
        <v>1.1791</v>
      </c>
      <c r="Q994" s="9">
        <v>19.053000000000001</v>
      </c>
      <c r="R994" s="9"/>
      <c r="S994" s="11"/>
    </row>
    <row r="995" spans="1:19" ht="15.75">
      <c r="A995" s="13">
        <v>71802</v>
      </c>
      <c r="B995" s="8">
        <f>CHOOSE( CONTROL!$C$32, 63.6854, 63.6799) * CHOOSE(CONTROL!$C$15, $D$11, 100%, $F$11)</f>
        <v>63.685400000000001</v>
      </c>
      <c r="C995" s="8">
        <f>CHOOSE( CONTROL!$C$32, 63.6935, 63.688) * CHOOSE(CONTROL!$C$15, $D$11, 100%, $F$11)</f>
        <v>63.6935</v>
      </c>
      <c r="D995" s="8">
        <f>CHOOSE( CONTROL!$C$32, 63.7199, 63.7143) * CHOOSE( CONTROL!$C$15, $D$11, 100%, $F$11)</f>
        <v>63.719900000000003</v>
      </c>
      <c r="E995" s="12">
        <f>CHOOSE( CONTROL!$C$32, 63.7091, 63.7035) * CHOOSE( CONTROL!$C$15, $D$11, 100%, $F$11)</f>
        <v>63.709099999999999</v>
      </c>
      <c r="F995" s="4">
        <f>CHOOSE( CONTROL!$C$32, 64.3978, 64.3923) * CHOOSE(CONTROL!$C$15, $D$11, 100%, $F$11)</f>
        <v>64.397800000000004</v>
      </c>
      <c r="G995" s="8">
        <f>CHOOSE( CONTROL!$C$32, 62.1881, 62.1826) * CHOOSE( CONTROL!$C$15, $D$11, 100%, $F$11)</f>
        <v>62.188099999999999</v>
      </c>
      <c r="H995" s="4">
        <f>CHOOSE( CONTROL!$C$32, 63.1324, 63.1269) * CHOOSE(CONTROL!$C$15, $D$11, 100%, $F$11)</f>
        <v>63.132399999999997</v>
      </c>
      <c r="I995" s="8">
        <f>CHOOSE( CONTROL!$C$32, 61.2598, 61.2544) * CHOOSE(CONTROL!$C$15, $D$11, 100%, $F$11)</f>
        <v>61.259799999999998</v>
      </c>
      <c r="J995" s="4">
        <f>CHOOSE( CONTROL!$C$32, 61.1152, 61.1098) * CHOOSE(CONTROL!$C$15, $D$11, 100%, $F$11)</f>
        <v>61.115200000000002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1.2183999999999999</v>
      </c>
      <c r="Q995" s="9">
        <v>19.688099999999999</v>
      </c>
      <c r="R995" s="9"/>
      <c r="S995" s="11"/>
    </row>
    <row r="996" spans="1:19" ht="15.75">
      <c r="A996" s="13">
        <v>71833</v>
      </c>
      <c r="B996" s="8">
        <f>CHOOSE( CONTROL!$C$32, 58.7722, 58.7666) * CHOOSE(CONTROL!$C$15, $D$11, 100%, $F$11)</f>
        <v>58.772199999999998</v>
      </c>
      <c r="C996" s="8">
        <f>CHOOSE( CONTROL!$C$32, 58.7803, 58.7747) * CHOOSE(CONTROL!$C$15, $D$11, 100%, $F$11)</f>
        <v>58.780299999999997</v>
      </c>
      <c r="D996" s="8">
        <f>CHOOSE( CONTROL!$C$32, 58.8067, 58.8011) * CHOOSE( CONTROL!$C$15, $D$11, 100%, $F$11)</f>
        <v>58.806699999999999</v>
      </c>
      <c r="E996" s="12">
        <f>CHOOSE( CONTROL!$C$32, 58.7959, 58.7903) * CHOOSE( CONTROL!$C$15, $D$11, 100%, $F$11)</f>
        <v>58.795900000000003</v>
      </c>
      <c r="F996" s="4">
        <f>CHOOSE( CONTROL!$C$32, 59.4846, 59.479) * CHOOSE(CONTROL!$C$15, $D$11, 100%, $F$11)</f>
        <v>59.4846</v>
      </c>
      <c r="G996" s="8">
        <f>CHOOSE( CONTROL!$C$32, 57.3893, 57.3839) * CHOOSE( CONTROL!$C$15, $D$11, 100%, $F$11)</f>
        <v>57.389299999999999</v>
      </c>
      <c r="H996" s="4">
        <f>CHOOSE( CONTROL!$C$32, 58.3336, 58.3281) * CHOOSE(CONTROL!$C$15, $D$11, 100%, $F$11)</f>
        <v>58.333599999999997</v>
      </c>
      <c r="I996" s="8">
        <f>CHOOSE( CONTROL!$C$32, 56.5405, 56.5351) * CHOOSE(CONTROL!$C$15, $D$11, 100%, $F$11)</f>
        <v>56.540500000000002</v>
      </c>
      <c r="J996" s="4">
        <f>CHOOSE( CONTROL!$C$32, 56.3979, 56.3926) * CHOOSE(CONTROL!$C$15, $D$11, 100%, $F$11)</f>
        <v>56.3979</v>
      </c>
      <c r="K996" s="4"/>
      <c r="L996" s="9">
        <v>30.7165</v>
      </c>
      <c r="M996" s="9">
        <v>12.063700000000001</v>
      </c>
      <c r="N996" s="9">
        <v>4.9444999999999997</v>
      </c>
      <c r="O996" s="9">
        <v>0.37409999999999999</v>
      </c>
      <c r="P996" s="9">
        <v>1.2183999999999999</v>
      </c>
      <c r="Q996" s="9">
        <v>19.688099999999999</v>
      </c>
      <c r="R996" s="9"/>
      <c r="S996" s="11"/>
    </row>
    <row r="997" spans="1:19" ht="15.75">
      <c r="A997" s="13">
        <v>71863</v>
      </c>
      <c r="B997" s="8">
        <f>CHOOSE( CONTROL!$C$32, 57.5418, 57.5363) * CHOOSE(CONTROL!$C$15, $D$11, 100%, $F$11)</f>
        <v>57.541800000000002</v>
      </c>
      <c r="C997" s="8">
        <f>CHOOSE( CONTROL!$C$32, 57.5499, 57.5443) * CHOOSE(CONTROL!$C$15, $D$11, 100%, $F$11)</f>
        <v>57.549900000000001</v>
      </c>
      <c r="D997" s="8">
        <f>CHOOSE( CONTROL!$C$32, 57.5763, 57.5707) * CHOOSE( CONTROL!$C$15, $D$11, 100%, $F$11)</f>
        <v>57.576300000000003</v>
      </c>
      <c r="E997" s="12">
        <f>CHOOSE( CONTROL!$C$32, 57.5655, 57.5599) * CHOOSE( CONTROL!$C$15, $D$11, 100%, $F$11)</f>
        <v>57.5655</v>
      </c>
      <c r="F997" s="4">
        <f>CHOOSE( CONTROL!$C$32, 58.2542, 58.2487) * CHOOSE(CONTROL!$C$15, $D$11, 100%, $F$11)</f>
        <v>58.254199999999997</v>
      </c>
      <c r="G997" s="8">
        <f>CHOOSE( CONTROL!$C$32, 56.1876, 56.1822) * CHOOSE( CONTROL!$C$15, $D$11, 100%, $F$11)</f>
        <v>56.187600000000003</v>
      </c>
      <c r="H997" s="4">
        <f>CHOOSE( CONTROL!$C$32, 57.1319, 57.1264) * CHOOSE(CONTROL!$C$15, $D$11, 100%, $F$11)</f>
        <v>57.131900000000002</v>
      </c>
      <c r="I997" s="8">
        <f>CHOOSE( CONTROL!$C$32, 55.3584, 55.353) * CHOOSE(CONTROL!$C$15, $D$11, 100%, $F$11)</f>
        <v>55.358400000000003</v>
      </c>
      <c r="J997" s="4">
        <f>CHOOSE( CONTROL!$C$32, 55.2167, 55.2113) * CHOOSE(CONTROL!$C$15, $D$11, 100%, $F$11)</f>
        <v>55.216700000000003</v>
      </c>
      <c r="K997" s="4"/>
      <c r="L997" s="9">
        <v>29.7257</v>
      </c>
      <c r="M997" s="9">
        <v>11.6745</v>
      </c>
      <c r="N997" s="9">
        <v>4.7850000000000001</v>
      </c>
      <c r="O997" s="9">
        <v>0.36199999999999999</v>
      </c>
      <c r="P997" s="9">
        <v>1.1791</v>
      </c>
      <c r="Q997" s="9">
        <v>19.053000000000001</v>
      </c>
      <c r="R997" s="9"/>
      <c r="S997" s="11"/>
    </row>
    <row r="998" spans="1:19" ht="15.75">
      <c r="A998" s="13">
        <v>71894</v>
      </c>
      <c r="B998" s="8">
        <f>60.0891 * CHOOSE(CONTROL!$C$15, $D$11, 100%, $F$11)</f>
        <v>60.089100000000002</v>
      </c>
      <c r="C998" s="8">
        <f>60.0946 * CHOOSE(CONTROL!$C$15, $D$11, 100%, $F$11)</f>
        <v>60.0946</v>
      </c>
      <c r="D998" s="8">
        <f>60.1258 * CHOOSE( CONTROL!$C$15, $D$11, 100%, $F$11)</f>
        <v>60.125799999999998</v>
      </c>
      <c r="E998" s="12">
        <f>60.1149 * CHOOSE( CONTROL!$C$15, $D$11, 100%, $F$11)</f>
        <v>60.114899999999999</v>
      </c>
      <c r="F998" s="4">
        <f>60.8033 * CHOOSE(CONTROL!$C$15, $D$11, 100%, $F$11)</f>
        <v>60.8033</v>
      </c>
      <c r="G998" s="8">
        <f>58.6764 * CHOOSE( CONTROL!$C$15, $D$11, 100%, $F$11)</f>
        <v>58.676400000000001</v>
      </c>
      <c r="H998" s="4">
        <f>59.6215 * CHOOSE(CONTROL!$C$15, $D$11, 100%, $F$11)</f>
        <v>59.621499999999997</v>
      </c>
      <c r="I998" s="8">
        <f>57.8078 * CHOOSE(CONTROL!$C$15, $D$11, 100%, $F$11)</f>
        <v>57.8078</v>
      </c>
      <c r="J998" s="4">
        <f>57.664 * CHOOSE(CONTROL!$C$15, $D$11, 100%, $F$11)</f>
        <v>57.664000000000001</v>
      </c>
      <c r="K998" s="4"/>
      <c r="L998" s="9">
        <v>31.095300000000002</v>
      </c>
      <c r="M998" s="9">
        <v>12.063700000000001</v>
      </c>
      <c r="N998" s="9">
        <v>4.9444999999999997</v>
      </c>
      <c r="O998" s="9">
        <v>0.37409999999999999</v>
      </c>
      <c r="P998" s="9">
        <v>1.2183999999999999</v>
      </c>
      <c r="Q998" s="9">
        <v>19.688099999999999</v>
      </c>
      <c r="R998" s="9"/>
      <c r="S998" s="11"/>
    </row>
    <row r="999" spans="1:19" ht="15.75">
      <c r="A999" s="13">
        <v>71924</v>
      </c>
      <c r="B999" s="8">
        <f>64.804 * CHOOSE(CONTROL!$C$15, $D$11, 100%, $F$11)</f>
        <v>64.804000000000002</v>
      </c>
      <c r="C999" s="8">
        <f>64.8092 * CHOOSE(CONTROL!$C$15, $D$11, 100%, $F$11)</f>
        <v>64.809200000000004</v>
      </c>
      <c r="D999" s="8">
        <f>64.7955 * CHOOSE( CONTROL!$C$15, $D$11, 100%, $F$11)</f>
        <v>64.795500000000004</v>
      </c>
      <c r="E999" s="12">
        <f>64.8 * CHOOSE( CONTROL!$C$15, $D$11, 100%, $F$11)</f>
        <v>64.8</v>
      </c>
      <c r="F999" s="4">
        <f>65.4545 * CHOOSE(CONTROL!$C$15, $D$11, 100%, $F$11)</f>
        <v>65.454499999999996</v>
      </c>
      <c r="G999" s="8">
        <f>63.2894 * CHOOSE( CONTROL!$C$15, $D$11, 100%, $F$11)</f>
        <v>63.289400000000001</v>
      </c>
      <c r="H999" s="4">
        <f>64.1644 * CHOOSE(CONTROL!$C$15, $D$11, 100%, $F$11)</f>
        <v>64.164400000000001</v>
      </c>
      <c r="I999" s="8">
        <f>62.3809 * CHOOSE(CONTROL!$C$15, $D$11, 100%, $F$11)</f>
        <v>62.380899999999997</v>
      </c>
      <c r="J999" s="4">
        <f>62.1912 * CHOOSE(CONTROL!$C$15, $D$11, 100%, $F$11)</f>
        <v>62.191200000000002</v>
      </c>
      <c r="K999" s="4"/>
      <c r="L999" s="9">
        <v>28.360600000000002</v>
      </c>
      <c r="M999" s="9">
        <v>11.6745</v>
      </c>
      <c r="N999" s="9">
        <v>4.7850000000000001</v>
      </c>
      <c r="O999" s="9">
        <v>0.36199999999999999</v>
      </c>
      <c r="P999" s="9">
        <v>1.2509999999999999</v>
      </c>
      <c r="Q999" s="9">
        <v>19.053000000000001</v>
      </c>
      <c r="R999" s="9"/>
      <c r="S999" s="11"/>
    </row>
    <row r="1000" spans="1:19" ht="15.75">
      <c r="A1000" s="13">
        <v>71955</v>
      </c>
      <c r="B1000" s="8">
        <f>64.6862 * CHOOSE(CONTROL!$C$15, $D$11, 100%, $F$11)</f>
        <v>64.686199999999999</v>
      </c>
      <c r="C1000" s="8">
        <f>64.6914 * CHOOSE(CONTROL!$C$15, $D$11, 100%, $F$11)</f>
        <v>64.691400000000002</v>
      </c>
      <c r="D1000" s="8">
        <f>64.6791 * CHOOSE( CONTROL!$C$15, $D$11, 100%, $F$11)</f>
        <v>64.679100000000005</v>
      </c>
      <c r="E1000" s="12">
        <f>64.683 * CHOOSE( CONTROL!$C$15, $D$11, 100%, $F$11)</f>
        <v>64.683000000000007</v>
      </c>
      <c r="F1000" s="4">
        <f>65.3367 * CHOOSE(CONTROL!$C$15, $D$11, 100%, $F$11)</f>
        <v>65.336699999999993</v>
      </c>
      <c r="G1000" s="8">
        <f>63.1754 * CHOOSE( CONTROL!$C$15, $D$11, 100%, $F$11)</f>
        <v>63.175400000000003</v>
      </c>
      <c r="H1000" s="4">
        <f>64.0494 * CHOOSE(CONTROL!$C$15, $D$11, 100%, $F$11)</f>
        <v>64.049400000000006</v>
      </c>
      <c r="I1000" s="8">
        <f>62.2724 * CHOOSE(CONTROL!$C$15, $D$11, 100%, $F$11)</f>
        <v>62.272399999999998</v>
      </c>
      <c r="J1000" s="4">
        <f>62.0781 * CHOOSE(CONTROL!$C$15, $D$11, 100%, $F$11)</f>
        <v>62.078099999999999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71986</v>
      </c>
      <c r="B1001" s="8">
        <f>67.1574 * CHOOSE(CONTROL!$C$15, $D$11, 100%, $F$11)</f>
        <v>67.157399999999996</v>
      </c>
      <c r="C1001" s="8">
        <f>67.1626 * CHOOSE(CONTROL!$C$15, $D$11, 100%, $F$11)</f>
        <v>67.162599999999998</v>
      </c>
      <c r="D1001" s="8">
        <f>67.145 * CHOOSE( CONTROL!$C$15, $D$11, 100%, $F$11)</f>
        <v>67.144999999999996</v>
      </c>
      <c r="E1001" s="12">
        <f>67.1509 * CHOOSE( CONTROL!$C$15, $D$11, 100%, $F$11)</f>
        <v>67.150899999999993</v>
      </c>
      <c r="F1001" s="4">
        <f>67.8079 * CHOOSE(CONTROL!$C$15, $D$11, 100%, $F$11)</f>
        <v>67.807900000000004</v>
      </c>
      <c r="G1001" s="8">
        <f>65.579 * CHOOSE( CONTROL!$C$15, $D$11, 100%, $F$11)</f>
        <v>65.578999999999994</v>
      </c>
      <c r="H1001" s="4">
        <f>66.463 * CHOOSE(CONTROL!$C$15, $D$11, 100%, $F$11)</f>
        <v>66.462999999999994</v>
      </c>
      <c r="I1001" s="8">
        <f>64.6061 * CHOOSE(CONTROL!$C$15, $D$11, 100%, $F$11)</f>
        <v>64.606099999999998</v>
      </c>
      <c r="J1001" s="4">
        <f>64.4507 * CHOOSE(CONTROL!$C$15, $D$11, 100%, $F$11)</f>
        <v>64.450699999999998</v>
      </c>
      <c r="K1001" s="4"/>
      <c r="L1001" s="9">
        <v>29.306000000000001</v>
      </c>
      <c r="M1001" s="9">
        <v>12.063700000000001</v>
      </c>
      <c r="N1001" s="9">
        <v>4.9444999999999997</v>
      </c>
      <c r="O1001" s="9">
        <v>0.37409999999999999</v>
      </c>
      <c r="P1001" s="9">
        <v>1.2927</v>
      </c>
      <c r="Q1001" s="9">
        <v>19.688099999999999</v>
      </c>
      <c r="R1001" s="9"/>
      <c r="S1001" s="11"/>
    </row>
    <row r="1002" spans="1:19" ht="15.75">
      <c r="A1002" s="13">
        <v>72014</v>
      </c>
      <c r="B1002" s="8">
        <f>62.8176 * CHOOSE(CONTROL!$C$15, $D$11, 100%, $F$11)</f>
        <v>62.817599999999999</v>
      </c>
      <c r="C1002" s="8">
        <f>62.8228 * CHOOSE(CONTROL!$C$15, $D$11, 100%, $F$11)</f>
        <v>62.822800000000001</v>
      </c>
      <c r="D1002" s="8">
        <f>62.8052 * CHOOSE( CONTROL!$C$15, $D$11, 100%, $F$11)</f>
        <v>62.805199999999999</v>
      </c>
      <c r="E1002" s="12">
        <f>62.8111 * CHOOSE( CONTROL!$C$15, $D$11, 100%, $F$11)</f>
        <v>62.811100000000003</v>
      </c>
      <c r="F1002" s="4">
        <f>63.4681 * CHOOSE(CONTROL!$C$15, $D$11, 100%, $F$11)</f>
        <v>63.4681</v>
      </c>
      <c r="G1002" s="8">
        <f>61.3403 * CHOOSE( CONTROL!$C$15, $D$11, 100%, $F$11)</f>
        <v>61.340299999999999</v>
      </c>
      <c r="H1002" s="4">
        <f>62.2243 * CHOOSE(CONTROL!$C$15, $D$11, 100%, $F$11)</f>
        <v>62.224299999999999</v>
      </c>
      <c r="I1002" s="8">
        <f>60.4372 * CHOOSE(CONTROL!$C$15, $D$11, 100%, $F$11)</f>
        <v>60.437199999999997</v>
      </c>
      <c r="J1002" s="4">
        <f>60.284 * CHOOSE(CONTROL!$C$15, $D$11, 100%, $F$11)</f>
        <v>60.283999999999999</v>
      </c>
      <c r="K1002" s="4"/>
      <c r="L1002" s="9">
        <v>26.469899999999999</v>
      </c>
      <c r="M1002" s="9">
        <v>10.8962</v>
      </c>
      <c r="N1002" s="9">
        <v>4.4660000000000002</v>
      </c>
      <c r="O1002" s="9">
        <v>0.33789999999999998</v>
      </c>
      <c r="P1002" s="9">
        <v>1.1676</v>
      </c>
      <c r="Q1002" s="9">
        <v>17.782800000000002</v>
      </c>
      <c r="R1002" s="9"/>
      <c r="S1002" s="11"/>
    </row>
    <row r="1003" spans="1:19" ht="15.75">
      <c r="A1003" s="13">
        <v>72045</v>
      </c>
      <c r="B1003" s="8">
        <f>61.481 * CHOOSE(CONTROL!$C$15, $D$11, 100%, $F$11)</f>
        <v>61.481000000000002</v>
      </c>
      <c r="C1003" s="8">
        <f>61.4862 * CHOOSE(CONTROL!$C$15, $D$11, 100%, $F$11)</f>
        <v>61.486199999999997</v>
      </c>
      <c r="D1003" s="8">
        <f>61.4682 * CHOOSE( CONTROL!$C$15, $D$11, 100%, $F$11)</f>
        <v>61.468200000000003</v>
      </c>
      <c r="E1003" s="12">
        <f>61.4742 * CHOOSE( CONTROL!$C$15, $D$11, 100%, $F$11)</f>
        <v>61.474200000000003</v>
      </c>
      <c r="F1003" s="4">
        <f>62.1315 * CHOOSE(CONTROL!$C$15, $D$11, 100%, $F$11)</f>
        <v>62.131500000000003</v>
      </c>
      <c r="G1003" s="8">
        <f>60.0345 * CHOOSE( CONTROL!$C$15, $D$11, 100%, $F$11)</f>
        <v>60.034500000000001</v>
      </c>
      <c r="H1003" s="4">
        <f>60.9188 * CHOOSE(CONTROL!$C$15, $D$11, 100%, $F$11)</f>
        <v>60.918799999999997</v>
      </c>
      <c r="I1003" s="8">
        <f>59.1521 * CHOOSE(CONTROL!$C$15, $D$11, 100%, $F$11)</f>
        <v>59.152099999999997</v>
      </c>
      <c r="J1003" s="4">
        <f>59.0007 * CHOOSE(CONTROL!$C$15, $D$11, 100%, $F$11)</f>
        <v>59.000700000000002</v>
      </c>
      <c r="K1003" s="4"/>
      <c r="L1003" s="9">
        <v>29.306000000000001</v>
      </c>
      <c r="M1003" s="9">
        <v>12.063700000000001</v>
      </c>
      <c r="N1003" s="9">
        <v>4.9444999999999997</v>
      </c>
      <c r="O1003" s="9">
        <v>0.37409999999999999</v>
      </c>
      <c r="P1003" s="9">
        <v>1.2927</v>
      </c>
      <c r="Q1003" s="9">
        <v>19.688099999999999</v>
      </c>
      <c r="R1003" s="9"/>
      <c r="S1003" s="11"/>
    </row>
    <row r="1004" spans="1:19" ht="15.75">
      <c r="A1004" s="13">
        <v>72075</v>
      </c>
      <c r="B1004" s="8">
        <f>62.4158 * CHOOSE(CONTROL!$C$15, $D$11, 100%, $F$11)</f>
        <v>62.415799999999997</v>
      </c>
      <c r="C1004" s="8">
        <f>62.4204 * CHOOSE(CONTROL!$C$15, $D$11, 100%, $F$11)</f>
        <v>62.420400000000001</v>
      </c>
      <c r="D1004" s="8">
        <f>62.4515 * CHOOSE( CONTROL!$C$15, $D$11, 100%, $F$11)</f>
        <v>62.451500000000003</v>
      </c>
      <c r="E1004" s="12">
        <f>62.4407 * CHOOSE( CONTROL!$C$15, $D$11, 100%, $F$11)</f>
        <v>62.4407</v>
      </c>
      <c r="F1004" s="4">
        <f>63.1295 * CHOOSE(CONTROL!$C$15, $D$11, 100%, $F$11)</f>
        <v>63.1295</v>
      </c>
      <c r="G1004" s="8">
        <f>60.9476 * CHOOSE( CONTROL!$C$15, $D$11, 100%, $F$11)</f>
        <v>60.947600000000001</v>
      </c>
      <c r="H1004" s="4">
        <f>61.8936 * CHOOSE(CONTROL!$C$15, $D$11, 100%, $F$11)</f>
        <v>61.893599999999999</v>
      </c>
      <c r="I1004" s="8">
        <f>60.0398 * CHOOSE(CONTROL!$C$15, $D$11, 100%, $F$11)</f>
        <v>60.0398</v>
      </c>
      <c r="J1004" s="4">
        <f>59.8975 * CHOOSE(CONTROL!$C$15, $D$11, 100%, $F$11)</f>
        <v>59.897500000000001</v>
      </c>
      <c r="K1004" s="4"/>
      <c r="L1004" s="9">
        <v>30.092199999999998</v>
      </c>
      <c r="M1004" s="9">
        <v>11.6745</v>
      </c>
      <c r="N1004" s="9">
        <v>4.7850000000000001</v>
      </c>
      <c r="O1004" s="9">
        <v>0.36199999999999999</v>
      </c>
      <c r="P1004" s="9">
        <v>1.1791</v>
      </c>
      <c r="Q1004" s="9">
        <v>19.053000000000001</v>
      </c>
      <c r="R1004" s="9"/>
      <c r="S1004" s="11"/>
    </row>
    <row r="1005" spans="1:19" ht="15.75">
      <c r="A1005" s="13">
        <v>72106</v>
      </c>
      <c r="B1005" s="8">
        <f>CHOOSE( CONTROL!$C$32, 64.085, 64.0795) * CHOOSE(CONTROL!$C$15, $D$11, 100%, $F$11)</f>
        <v>64.084999999999994</v>
      </c>
      <c r="C1005" s="8">
        <f>CHOOSE( CONTROL!$C$32, 64.0931, 64.0875) * CHOOSE(CONTROL!$C$15, $D$11, 100%, $F$11)</f>
        <v>64.093100000000007</v>
      </c>
      <c r="D1005" s="8">
        <f>CHOOSE( CONTROL!$C$32, 64.1191, 64.1135) * CHOOSE( CONTROL!$C$15, $D$11, 100%, $F$11)</f>
        <v>64.119100000000003</v>
      </c>
      <c r="E1005" s="12">
        <f>CHOOSE( CONTROL!$C$32, 64.1084, 64.1029) * CHOOSE( CONTROL!$C$15, $D$11, 100%, $F$11)</f>
        <v>64.108400000000003</v>
      </c>
      <c r="F1005" s="4">
        <f>CHOOSE( CONTROL!$C$32, 64.7974, 64.7919) * CHOOSE(CONTROL!$C$15, $D$11, 100%, $F$11)</f>
        <v>64.797399999999996</v>
      </c>
      <c r="G1005" s="8">
        <f>CHOOSE( CONTROL!$C$32, 62.5778, 62.5724) * CHOOSE( CONTROL!$C$15, $D$11, 100%, $F$11)</f>
        <v>62.577800000000003</v>
      </c>
      <c r="H1005" s="4">
        <f>CHOOSE( CONTROL!$C$32, 63.5227, 63.5172) * CHOOSE(CONTROL!$C$15, $D$11, 100%, $F$11)</f>
        <v>63.5227</v>
      </c>
      <c r="I1005" s="8">
        <f>CHOOSE( CONTROL!$C$32, 61.6418, 61.6365) * CHOOSE(CONTROL!$C$15, $D$11, 100%, $F$11)</f>
        <v>61.641800000000003</v>
      </c>
      <c r="J1005" s="4">
        <f>CHOOSE( CONTROL!$C$32, 61.4988, 61.4935) * CHOOSE(CONTROL!$C$15, $D$11, 100%, $F$11)</f>
        <v>61.498800000000003</v>
      </c>
      <c r="K1005" s="4"/>
      <c r="L1005" s="9">
        <v>30.7165</v>
      </c>
      <c r="M1005" s="9">
        <v>12.063700000000001</v>
      </c>
      <c r="N1005" s="9">
        <v>4.9444999999999997</v>
      </c>
      <c r="O1005" s="9">
        <v>0.37409999999999999</v>
      </c>
      <c r="P1005" s="9">
        <v>1.2183999999999999</v>
      </c>
      <c r="Q1005" s="9">
        <v>19.688099999999999</v>
      </c>
      <c r="R1005" s="9"/>
      <c r="S1005" s="11"/>
    </row>
    <row r="1006" spans="1:19" ht="15.75">
      <c r="A1006" s="13">
        <v>72136</v>
      </c>
      <c r="B1006" s="8">
        <f>CHOOSE( CONTROL!$C$32, 63.0553, 63.0497) * CHOOSE(CONTROL!$C$15, $D$11, 100%, $F$11)</f>
        <v>63.055300000000003</v>
      </c>
      <c r="C1006" s="8">
        <f>CHOOSE( CONTROL!$C$32, 63.0634, 63.0578) * CHOOSE(CONTROL!$C$15, $D$11, 100%, $F$11)</f>
        <v>63.063400000000001</v>
      </c>
      <c r="D1006" s="8">
        <f>CHOOSE( CONTROL!$C$32, 63.0895, 63.0839) * CHOOSE( CONTROL!$C$15, $D$11, 100%, $F$11)</f>
        <v>63.089500000000001</v>
      </c>
      <c r="E1006" s="12">
        <f>CHOOSE( CONTROL!$C$32, 63.0788, 63.0732) * CHOOSE( CONTROL!$C$15, $D$11, 100%, $F$11)</f>
        <v>63.078800000000001</v>
      </c>
      <c r="F1006" s="4">
        <f>CHOOSE( CONTROL!$C$32, 63.7677, 63.7621) * CHOOSE(CONTROL!$C$15, $D$11, 100%, $F$11)</f>
        <v>63.767699999999998</v>
      </c>
      <c r="G1006" s="8">
        <f>CHOOSE( CONTROL!$C$32, 61.5723, 61.5668) * CHOOSE( CONTROL!$C$15, $D$11, 100%, $F$11)</f>
        <v>61.572299999999998</v>
      </c>
      <c r="H1006" s="4">
        <f>CHOOSE( CONTROL!$C$32, 62.5169, 62.5115) * CHOOSE(CONTROL!$C$15, $D$11, 100%, $F$11)</f>
        <v>62.5169</v>
      </c>
      <c r="I1006" s="8">
        <f>CHOOSE( CONTROL!$C$32, 60.6535, 60.6481) * CHOOSE(CONTROL!$C$15, $D$11, 100%, $F$11)</f>
        <v>60.653500000000001</v>
      </c>
      <c r="J1006" s="4">
        <f>CHOOSE( CONTROL!$C$32, 60.5101, 60.5048) * CHOOSE(CONTROL!$C$15, $D$11, 100%, $F$11)</f>
        <v>60.510100000000001</v>
      </c>
      <c r="K1006" s="4"/>
      <c r="L1006" s="9">
        <v>29.7257</v>
      </c>
      <c r="M1006" s="9">
        <v>11.6745</v>
      </c>
      <c r="N1006" s="9">
        <v>4.7850000000000001</v>
      </c>
      <c r="O1006" s="9">
        <v>0.36199999999999999</v>
      </c>
      <c r="P1006" s="9">
        <v>1.1791</v>
      </c>
      <c r="Q1006" s="9">
        <v>19.053000000000001</v>
      </c>
      <c r="R1006" s="9"/>
      <c r="S1006" s="11"/>
    </row>
    <row r="1007" spans="1:19" ht="15.75">
      <c r="A1007" s="13">
        <v>72167</v>
      </c>
      <c r="B1007" s="8">
        <f>CHOOSE( CONTROL!$C$32, 65.767, 65.7614) * CHOOSE(CONTROL!$C$15, $D$11, 100%, $F$11)</f>
        <v>65.766999999999996</v>
      </c>
      <c r="C1007" s="8">
        <f>CHOOSE( CONTROL!$C$32, 65.7751, 65.7695) * CHOOSE(CONTROL!$C$15, $D$11, 100%, $F$11)</f>
        <v>65.775099999999995</v>
      </c>
      <c r="D1007" s="8">
        <f>CHOOSE( CONTROL!$C$32, 65.8014, 65.7959) * CHOOSE( CONTROL!$C$15, $D$11, 100%, $F$11)</f>
        <v>65.801400000000001</v>
      </c>
      <c r="E1007" s="12">
        <f>CHOOSE( CONTROL!$C$32, 65.7906, 65.7851) * CHOOSE( CONTROL!$C$15, $D$11, 100%, $F$11)</f>
        <v>65.790599999999998</v>
      </c>
      <c r="F1007" s="4">
        <f>CHOOSE( CONTROL!$C$32, 66.4794, 66.4738) * CHOOSE(CONTROL!$C$15, $D$11, 100%, $F$11)</f>
        <v>66.479399999999998</v>
      </c>
      <c r="G1007" s="8">
        <f>CHOOSE( CONTROL!$C$32, 64.2211, 64.2157) * CHOOSE( CONTROL!$C$15, $D$11, 100%, $F$11)</f>
        <v>64.221100000000007</v>
      </c>
      <c r="H1007" s="4">
        <f>CHOOSE( CONTROL!$C$32, 65.1655, 65.16) * CHOOSE(CONTROL!$C$15, $D$11, 100%, $F$11)</f>
        <v>65.165499999999994</v>
      </c>
      <c r="I1007" s="8">
        <f>CHOOSE( CONTROL!$C$32, 63.2593, 63.2539) * CHOOSE(CONTROL!$C$15, $D$11, 100%, $F$11)</f>
        <v>63.259300000000003</v>
      </c>
      <c r="J1007" s="4">
        <f>CHOOSE( CONTROL!$C$32, 63.1137, 63.1083) * CHOOSE(CONTROL!$C$15, $D$11, 100%, $F$11)</f>
        <v>63.113700000000001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1.2183999999999999</v>
      </c>
      <c r="Q1007" s="9">
        <v>19.688099999999999</v>
      </c>
      <c r="R1007" s="9"/>
      <c r="S1007" s="11"/>
    </row>
    <row r="1008" spans="1:19" ht="15.75">
      <c r="A1008" s="13">
        <v>72198</v>
      </c>
      <c r="B1008" s="8">
        <f>CHOOSE( CONTROL!$C$32, 60.6931, 60.6875) * CHOOSE(CONTROL!$C$15, $D$11, 100%, $F$11)</f>
        <v>60.693100000000001</v>
      </c>
      <c r="C1008" s="8">
        <f>CHOOSE( CONTROL!$C$32, 60.7011, 60.6956) * CHOOSE(CONTROL!$C$15, $D$11, 100%, $F$11)</f>
        <v>60.701099999999997</v>
      </c>
      <c r="D1008" s="8">
        <f>CHOOSE( CONTROL!$C$32, 60.7275, 60.722) * CHOOSE( CONTROL!$C$15, $D$11, 100%, $F$11)</f>
        <v>60.727499999999999</v>
      </c>
      <c r="E1008" s="12">
        <f>CHOOSE( CONTROL!$C$32, 60.7167, 60.7112) * CHOOSE( CONTROL!$C$15, $D$11, 100%, $F$11)</f>
        <v>60.716700000000003</v>
      </c>
      <c r="F1008" s="4">
        <f>CHOOSE( CONTROL!$C$32, 61.4055, 61.3999) * CHOOSE(CONTROL!$C$15, $D$11, 100%, $F$11)</f>
        <v>61.405500000000004</v>
      </c>
      <c r="G1008" s="8">
        <f>CHOOSE( CONTROL!$C$32, 59.2655, 59.26) * CHOOSE( CONTROL!$C$15, $D$11, 100%, $F$11)</f>
        <v>59.265500000000003</v>
      </c>
      <c r="H1008" s="4">
        <f>CHOOSE( CONTROL!$C$32, 60.2097, 60.2043) * CHOOSE(CONTROL!$C$15, $D$11, 100%, $F$11)</f>
        <v>60.209699999999998</v>
      </c>
      <c r="I1008" s="8">
        <f>CHOOSE( CONTROL!$C$32, 58.3856, 58.3803) * CHOOSE(CONTROL!$C$15, $D$11, 100%, $F$11)</f>
        <v>58.385599999999997</v>
      </c>
      <c r="J1008" s="4">
        <f>CHOOSE( CONTROL!$C$32, 58.2422, 58.2368) * CHOOSE(CONTROL!$C$15, $D$11, 100%, $F$11)</f>
        <v>58.242199999999997</v>
      </c>
      <c r="K1008" s="4"/>
      <c r="L1008" s="9">
        <v>30.7165</v>
      </c>
      <c r="M1008" s="9">
        <v>12.063700000000001</v>
      </c>
      <c r="N1008" s="9">
        <v>4.9444999999999997</v>
      </c>
      <c r="O1008" s="9">
        <v>0.37409999999999999</v>
      </c>
      <c r="P1008" s="9">
        <v>1.2183999999999999</v>
      </c>
      <c r="Q1008" s="9">
        <v>19.688099999999999</v>
      </c>
      <c r="R1008" s="9"/>
      <c r="S1008" s="11"/>
    </row>
    <row r="1009" spans="1:19" ht="15.75">
      <c r="A1009" s="13">
        <v>72228</v>
      </c>
      <c r="B1009" s="8">
        <f>CHOOSE( CONTROL!$C$32, 59.4225, 59.4169) * CHOOSE(CONTROL!$C$15, $D$11, 100%, $F$11)</f>
        <v>59.422499999999999</v>
      </c>
      <c r="C1009" s="8">
        <f>CHOOSE( CONTROL!$C$32, 59.4306, 59.425) * CHOOSE(CONTROL!$C$15, $D$11, 100%, $F$11)</f>
        <v>59.430599999999998</v>
      </c>
      <c r="D1009" s="8">
        <f>CHOOSE( CONTROL!$C$32, 59.4569, 59.4513) * CHOOSE( CONTROL!$C$15, $D$11, 100%, $F$11)</f>
        <v>59.456899999999997</v>
      </c>
      <c r="E1009" s="12">
        <f>CHOOSE( CONTROL!$C$32, 59.4461, 59.4405) * CHOOSE( CONTROL!$C$15, $D$11, 100%, $F$11)</f>
        <v>59.446100000000001</v>
      </c>
      <c r="F1009" s="4">
        <f>CHOOSE( CONTROL!$C$32, 60.1349, 60.1293) * CHOOSE(CONTROL!$C$15, $D$11, 100%, $F$11)</f>
        <v>60.134900000000002</v>
      </c>
      <c r="G1009" s="8">
        <f>CHOOSE( CONTROL!$C$32, 58.0244, 58.019) * CHOOSE( CONTROL!$C$15, $D$11, 100%, $F$11)</f>
        <v>58.0244</v>
      </c>
      <c r="H1009" s="4">
        <f>CHOOSE( CONTROL!$C$32, 58.9687, 58.9633) * CHOOSE(CONTROL!$C$15, $D$11, 100%, $F$11)</f>
        <v>58.968699999999998</v>
      </c>
      <c r="I1009" s="8">
        <f>CHOOSE( CONTROL!$C$32, 57.1649, 57.1596) * CHOOSE(CONTROL!$C$15, $D$11, 100%, $F$11)</f>
        <v>57.164900000000003</v>
      </c>
      <c r="J1009" s="4">
        <f>CHOOSE( CONTROL!$C$32, 57.0223, 57.017) * CHOOSE(CONTROL!$C$15, $D$11, 100%, $F$11)</f>
        <v>57.022300000000001</v>
      </c>
      <c r="K1009" s="4"/>
      <c r="L1009" s="9">
        <v>29.7257</v>
      </c>
      <c r="M1009" s="9">
        <v>11.6745</v>
      </c>
      <c r="N1009" s="9">
        <v>4.7850000000000001</v>
      </c>
      <c r="O1009" s="9">
        <v>0.36199999999999999</v>
      </c>
      <c r="P1009" s="9">
        <v>1.1791</v>
      </c>
      <c r="Q1009" s="9">
        <v>19.053000000000001</v>
      </c>
      <c r="R1009" s="9"/>
      <c r="S1009" s="11"/>
    </row>
    <row r="1010" spans="1:19" ht="15.75">
      <c r="A1010" s="13">
        <v>72259</v>
      </c>
      <c r="B1010" s="8">
        <f>62.0533 * CHOOSE(CONTROL!$C$15, $D$11, 100%, $F$11)</f>
        <v>62.0533</v>
      </c>
      <c r="C1010" s="8">
        <f>62.0588 * CHOOSE(CONTROL!$C$15, $D$11, 100%, $F$11)</f>
        <v>62.058799999999998</v>
      </c>
      <c r="D1010" s="8">
        <f>62.09 * CHOOSE( CONTROL!$C$15, $D$11, 100%, $F$11)</f>
        <v>62.09</v>
      </c>
      <c r="E1010" s="12">
        <f>62.0791 * CHOOSE( CONTROL!$C$15, $D$11, 100%, $F$11)</f>
        <v>62.079099999999997</v>
      </c>
      <c r="F1010" s="4">
        <f>62.7675 * CHOOSE(CONTROL!$C$15, $D$11, 100%, $F$11)</f>
        <v>62.767499999999998</v>
      </c>
      <c r="G1010" s="8">
        <f>60.5948 * CHOOSE( CONTROL!$C$15, $D$11, 100%, $F$11)</f>
        <v>60.594799999999999</v>
      </c>
      <c r="H1010" s="4">
        <f>61.54 * CHOOSE(CONTROL!$C$15, $D$11, 100%, $F$11)</f>
        <v>61.54</v>
      </c>
      <c r="I1010" s="8">
        <f>59.6946 * CHOOSE(CONTROL!$C$15, $D$11, 100%, $F$11)</f>
        <v>59.694600000000001</v>
      </c>
      <c r="J1010" s="4">
        <f>59.5498 * CHOOSE(CONTROL!$C$15, $D$11, 100%, $F$11)</f>
        <v>59.549799999999998</v>
      </c>
      <c r="K1010" s="4"/>
      <c r="L1010" s="9">
        <v>31.095300000000002</v>
      </c>
      <c r="M1010" s="9">
        <v>12.063700000000001</v>
      </c>
      <c r="N1010" s="9">
        <v>4.9444999999999997</v>
      </c>
      <c r="O1010" s="9">
        <v>0.37409999999999999</v>
      </c>
      <c r="P1010" s="9">
        <v>1.2183999999999999</v>
      </c>
      <c r="Q1010" s="9">
        <v>19.688099999999999</v>
      </c>
      <c r="R1010" s="9"/>
      <c r="S1010" s="11"/>
    </row>
    <row r="1011" spans="1:19" ht="15.75">
      <c r="A1011" s="13">
        <v>72289</v>
      </c>
      <c r="B1011" s="8">
        <f>66.9224 * CHOOSE(CONTROL!$C$15, $D$11, 100%, $F$11)</f>
        <v>66.922399999999996</v>
      </c>
      <c r="C1011" s="8">
        <f>66.9276 * CHOOSE(CONTROL!$C$15, $D$11, 100%, $F$11)</f>
        <v>66.927599999999998</v>
      </c>
      <c r="D1011" s="8">
        <f>66.9139 * CHOOSE( CONTROL!$C$15, $D$11, 100%, $F$11)</f>
        <v>66.913899999999998</v>
      </c>
      <c r="E1011" s="12">
        <f>66.9184 * CHOOSE( CONTROL!$C$15, $D$11, 100%, $F$11)</f>
        <v>66.918400000000005</v>
      </c>
      <c r="F1011" s="4">
        <f>67.5729 * CHOOSE(CONTROL!$C$15, $D$11, 100%, $F$11)</f>
        <v>67.572900000000004</v>
      </c>
      <c r="G1011" s="8">
        <f>65.3585 * CHOOSE( CONTROL!$C$15, $D$11, 100%, $F$11)</f>
        <v>65.358500000000006</v>
      </c>
      <c r="H1011" s="4">
        <f>66.2335 * CHOOSE(CONTROL!$C$15, $D$11, 100%, $F$11)</f>
        <v>66.233500000000006</v>
      </c>
      <c r="I1011" s="8">
        <f>64.4158 * CHOOSE(CONTROL!$C$15, $D$11, 100%, $F$11)</f>
        <v>64.415800000000004</v>
      </c>
      <c r="J1011" s="4">
        <f>64.2251 * CHOOSE(CONTROL!$C$15, $D$11, 100%, $F$11)</f>
        <v>64.225099999999998</v>
      </c>
      <c r="K1011" s="4"/>
      <c r="L1011" s="9">
        <v>28.360600000000002</v>
      </c>
      <c r="M1011" s="9">
        <v>11.6745</v>
      </c>
      <c r="N1011" s="9">
        <v>4.7850000000000001</v>
      </c>
      <c r="O1011" s="9">
        <v>0.36199999999999999</v>
      </c>
      <c r="P1011" s="9">
        <v>1.2509999999999999</v>
      </c>
      <c r="Q1011" s="9">
        <v>19.053000000000001</v>
      </c>
      <c r="R1011" s="9"/>
      <c r="S1011" s="11"/>
    </row>
    <row r="1012" spans="1:19" ht="15.75">
      <c r="A1012" s="13">
        <v>72320</v>
      </c>
      <c r="B1012" s="8">
        <f>66.8008 * CHOOSE(CONTROL!$C$15, $D$11, 100%, $F$11)</f>
        <v>66.800799999999995</v>
      </c>
      <c r="C1012" s="8">
        <f>66.806 * CHOOSE(CONTROL!$C$15, $D$11, 100%, $F$11)</f>
        <v>66.805999999999997</v>
      </c>
      <c r="D1012" s="8">
        <f>66.7937 * CHOOSE( CONTROL!$C$15, $D$11, 100%, $F$11)</f>
        <v>66.793700000000001</v>
      </c>
      <c r="E1012" s="12">
        <f>66.7976 * CHOOSE( CONTROL!$C$15, $D$11, 100%, $F$11)</f>
        <v>66.797600000000003</v>
      </c>
      <c r="F1012" s="4">
        <f>67.4512 * CHOOSE(CONTROL!$C$15, $D$11, 100%, $F$11)</f>
        <v>67.4512</v>
      </c>
      <c r="G1012" s="8">
        <f>65.2407 * CHOOSE( CONTROL!$C$15, $D$11, 100%, $F$11)</f>
        <v>65.240700000000004</v>
      </c>
      <c r="H1012" s="4">
        <f>66.1147 * CHOOSE(CONTROL!$C$15, $D$11, 100%, $F$11)</f>
        <v>66.114699999999999</v>
      </c>
      <c r="I1012" s="8">
        <f>64.3036 * CHOOSE(CONTROL!$C$15, $D$11, 100%, $F$11)</f>
        <v>64.303600000000003</v>
      </c>
      <c r="J1012" s="4">
        <f>64.1082 * CHOOSE(CONTROL!$C$15, $D$11, 100%, $F$11)</f>
        <v>64.108199999999997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72351</v>
      </c>
      <c r="B1013" s="8">
        <f>69.3528 * CHOOSE(CONTROL!$C$15, $D$11, 100%, $F$11)</f>
        <v>69.352800000000002</v>
      </c>
      <c r="C1013" s="8">
        <f>69.358 * CHOOSE(CONTROL!$C$15, $D$11, 100%, $F$11)</f>
        <v>69.358000000000004</v>
      </c>
      <c r="D1013" s="8">
        <f>69.3404 * CHOOSE( CONTROL!$C$15, $D$11, 100%, $F$11)</f>
        <v>69.340400000000002</v>
      </c>
      <c r="E1013" s="12">
        <f>69.3463 * CHOOSE( CONTROL!$C$15, $D$11, 100%, $F$11)</f>
        <v>69.346299999999999</v>
      </c>
      <c r="F1013" s="4">
        <f>70.0032 * CHOOSE(CONTROL!$C$15, $D$11, 100%, $F$11)</f>
        <v>70.003200000000007</v>
      </c>
      <c r="G1013" s="8">
        <f>67.7233 * CHOOSE( CONTROL!$C$15, $D$11, 100%, $F$11)</f>
        <v>67.723299999999995</v>
      </c>
      <c r="H1013" s="4">
        <f>68.6072 * CHOOSE(CONTROL!$C$15, $D$11, 100%, $F$11)</f>
        <v>68.607200000000006</v>
      </c>
      <c r="I1013" s="8">
        <f>66.7149 * CHOOSE(CONTROL!$C$15, $D$11, 100%, $F$11)</f>
        <v>66.7149</v>
      </c>
      <c r="J1013" s="4">
        <f>66.5584 * CHOOSE(CONTROL!$C$15, $D$11, 100%, $F$11)</f>
        <v>66.558400000000006</v>
      </c>
      <c r="K1013" s="4"/>
      <c r="L1013" s="9">
        <v>29.306000000000001</v>
      </c>
      <c r="M1013" s="9">
        <v>12.063700000000001</v>
      </c>
      <c r="N1013" s="9">
        <v>4.9444999999999997</v>
      </c>
      <c r="O1013" s="9">
        <v>0.37409999999999999</v>
      </c>
      <c r="P1013" s="9">
        <v>1.2927</v>
      </c>
      <c r="Q1013" s="9">
        <v>19.688099999999999</v>
      </c>
      <c r="R1013" s="9"/>
      <c r="S1013" s="11"/>
    </row>
    <row r="1014" spans="1:19" ht="15.75">
      <c r="A1014" s="13">
        <v>72379</v>
      </c>
      <c r="B1014" s="8">
        <f>64.8711 * CHOOSE(CONTROL!$C$15, $D$11, 100%, $F$11)</f>
        <v>64.871099999999998</v>
      </c>
      <c r="C1014" s="8">
        <f>64.8763 * CHOOSE(CONTROL!$C$15, $D$11, 100%, $F$11)</f>
        <v>64.876300000000001</v>
      </c>
      <c r="D1014" s="8">
        <f>64.8586 * CHOOSE( CONTROL!$C$15, $D$11, 100%, $F$11)</f>
        <v>64.858599999999996</v>
      </c>
      <c r="E1014" s="12">
        <f>64.8645 * CHOOSE( CONTROL!$C$15, $D$11, 100%, $F$11)</f>
        <v>64.864500000000007</v>
      </c>
      <c r="F1014" s="4">
        <f>65.5215 * CHOOSE(CONTROL!$C$15, $D$11, 100%, $F$11)</f>
        <v>65.521500000000003</v>
      </c>
      <c r="G1014" s="8">
        <f>63.3459 * CHOOSE( CONTROL!$C$15, $D$11, 100%, $F$11)</f>
        <v>63.3459</v>
      </c>
      <c r="H1014" s="4">
        <f>64.2299 * CHOOSE(CONTROL!$C$15, $D$11, 100%, $F$11)</f>
        <v>64.229900000000001</v>
      </c>
      <c r="I1014" s="8">
        <f>62.4097 * CHOOSE(CONTROL!$C$15, $D$11, 100%, $F$11)</f>
        <v>62.409700000000001</v>
      </c>
      <c r="J1014" s="4">
        <f>62.2555 * CHOOSE(CONTROL!$C$15, $D$11, 100%, $F$11)</f>
        <v>62.255499999999998</v>
      </c>
      <c r="K1014" s="4"/>
      <c r="L1014" s="9">
        <v>26.469899999999999</v>
      </c>
      <c r="M1014" s="9">
        <v>10.8962</v>
      </c>
      <c r="N1014" s="9">
        <v>4.4660000000000002</v>
      </c>
      <c r="O1014" s="9">
        <v>0.33789999999999998</v>
      </c>
      <c r="P1014" s="9">
        <v>1.1676</v>
      </c>
      <c r="Q1014" s="9">
        <v>17.782800000000002</v>
      </c>
      <c r="R1014" s="9"/>
      <c r="S1014" s="11"/>
    </row>
    <row r="1015" spans="1:19" ht="15.75">
      <c r="A1015" s="13">
        <v>72410</v>
      </c>
      <c r="B1015" s="8">
        <f>63.4907 * CHOOSE(CONTROL!$C$15, $D$11, 100%, $F$11)</f>
        <v>63.490699999999997</v>
      </c>
      <c r="C1015" s="8">
        <f>63.4959 * CHOOSE(CONTROL!$C$15, $D$11, 100%, $F$11)</f>
        <v>63.495899999999999</v>
      </c>
      <c r="D1015" s="8">
        <f>63.4779 * CHOOSE( CONTROL!$C$15, $D$11, 100%, $F$11)</f>
        <v>63.477899999999998</v>
      </c>
      <c r="E1015" s="12">
        <f>63.4839 * CHOOSE( CONTROL!$C$15, $D$11, 100%, $F$11)</f>
        <v>63.483899999999998</v>
      </c>
      <c r="F1015" s="4">
        <f>64.1412 * CHOOSE(CONTROL!$C$15, $D$11, 100%, $F$11)</f>
        <v>64.141199999999998</v>
      </c>
      <c r="G1015" s="8">
        <f>61.9974 * CHOOSE( CONTROL!$C$15, $D$11, 100%, $F$11)</f>
        <v>61.997399999999999</v>
      </c>
      <c r="H1015" s="4">
        <f>62.8817 * CHOOSE(CONTROL!$C$15, $D$11, 100%, $F$11)</f>
        <v>62.881700000000002</v>
      </c>
      <c r="I1015" s="8">
        <f>61.0826 * CHOOSE(CONTROL!$C$15, $D$11, 100%, $F$11)</f>
        <v>61.082599999999999</v>
      </c>
      <c r="J1015" s="4">
        <f>60.9303 * CHOOSE(CONTROL!$C$15, $D$11, 100%, $F$11)</f>
        <v>60.930300000000003</v>
      </c>
      <c r="K1015" s="4"/>
      <c r="L1015" s="9">
        <v>29.306000000000001</v>
      </c>
      <c r="M1015" s="9">
        <v>12.063700000000001</v>
      </c>
      <c r="N1015" s="9">
        <v>4.9444999999999997</v>
      </c>
      <c r="O1015" s="9">
        <v>0.37409999999999999</v>
      </c>
      <c r="P1015" s="9">
        <v>1.2927</v>
      </c>
      <c r="Q1015" s="9">
        <v>19.688099999999999</v>
      </c>
      <c r="R1015" s="9"/>
      <c r="S1015" s="11"/>
    </row>
    <row r="1016" spans="1:19" ht="15.75">
      <c r="A1016" s="13">
        <v>72440</v>
      </c>
      <c r="B1016" s="8">
        <f>64.456 * CHOOSE(CONTROL!$C$15, $D$11, 100%, $F$11)</f>
        <v>64.456000000000003</v>
      </c>
      <c r="C1016" s="8">
        <f>64.4607 * CHOOSE(CONTROL!$C$15, $D$11, 100%, $F$11)</f>
        <v>64.460700000000003</v>
      </c>
      <c r="D1016" s="8">
        <f>64.4918 * CHOOSE( CONTROL!$C$15, $D$11, 100%, $F$11)</f>
        <v>64.491799999999998</v>
      </c>
      <c r="E1016" s="12">
        <f>64.481 * CHOOSE( CONTROL!$C$15, $D$11, 100%, $F$11)</f>
        <v>64.480999999999995</v>
      </c>
      <c r="F1016" s="4">
        <f>65.1698 * CHOOSE(CONTROL!$C$15, $D$11, 100%, $F$11)</f>
        <v>65.169799999999995</v>
      </c>
      <c r="G1016" s="8">
        <f>62.9404 * CHOOSE( CONTROL!$C$15, $D$11, 100%, $F$11)</f>
        <v>62.940399999999997</v>
      </c>
      <c r="H1016" s="4">
        <f>63.8864 * CHOOSE(CONTROL!$C$15, $D$11, 100%, $F$11)</f>
        <v>63.886400000000002</v>
      </c>
      <c r="I1016" s="8">
        <f>61.9996 * CHOOSE(CONTROL!$C$15, $D$11, 100%, $F$11)</f>
        <v>61.999600000000001</v>
      </c>
      <c r="J1016" s="4">
        <f>61.8563 * CHOOSE(CONTROL!$C$15, $D$11, 100%, $F$11)</f>
        <v>61.856299999999997</v>
      </c>
      <c r="K1016" s="4"/>
      <c r="L1016" s="9">
        <v>30.092199999999998</v>
      </c>
      <c r="M1016" s="9">
        <v>11.6745</v>
      </c>
      <c r="N1016" s="9">
        <v>4.7850000000000001</v>
      </c>
      <c r="O1016" s="9">
        <v>0.36199999999999999</v>
      </c>
      <c r="P1016" s="9">
        <v>1.1791</v>
      </c>
      <c r="Q1016" s="9">
        <v>19.053000000000001</v>
      </c>
      <c r="R1016" s="9"/>
      <c r="S1016" s="11"/>
    </row>
    <row r="1017" spans="1:19" ht="15.75">
      <c r="A1017" s="13">
        <v>72471</v>
      </c>
      <c r="B1017" s="8">
        <f>CHOOSE( CONTROL!$C$32, 66.1797, 66.1741) * CHOOSE(CONTROL!$C$15, $D$11, 100%, $F$11)</f>
        <v>66.179699999999997</v>
      </c>
      <c r="C1017" s="8">
        <f>CHOOSE( CONTROL!$C$32, 66.1878, 66.1822) * CHOOSE(CONTROL!$C$15, $D$11, 100%, $F$11)</f>
        <v>66.187799999999996</v>
      </c>
      <c r="D1017" s="8">
        <f>CHOOSE( CONTROL!$C$32, 66.2137, 66.2082) * CHOOSE( CONTROL!$C$15, $D$11, 100%, $F$11)</f>
        <v>66.213700000000003</v>
      </c>
      <c r="E1017" s="12">
        <f>CHOOSE( CONTROL!$C$32, 66.2031, 66.1975) * CHOOSE( CONTROL!$C$15, $D$11, 100%, $F$11)</f>
        <v>66.203100000000006</v>
      </c>
      <c r="F1017" s="4">
        <f>CHOOSE( CONTROL!$C$32, 66.8921, 66.8865) * CHOOSE(CONTROL!$C$15, $D$11, 100%, $F$11)</f>
        <v>66.892099999999999</v>
      </c>
      <c r="G1017" s="8">
        <f>CHOOSE( CONTROL!$C$32, 64.6236, 64.6182) * CHOOSE( CONTROL!$C$15, $D$11, 100%, $F$11)</f>
        <v>64.623599999999996</v>
      </c>
      <c r="H1017" s="4">
        <f>CHOOSE( CONTROL!$C$32, 65.5685, 65.5631) * CHOOSE(CONTROL!$C$15, $D$11, 100%, $F$11)</f>
        <v>65.5685</v>
      </c>
      <c r="I1017" s="8">
        <f>CHOOSE( CONTROL!$C$32, 63.6539, 63.6486) * CHOOSE(CONTROL!$C$15, $D$11, 100%, $F$11)</f>
        <v>63.6539</v>
      </c>
      <c r="J1017" s="4">
        <f>CHOOSE( CONTROL!$C$32, 63.5099, 63.5045) * CHOOSE(CONTROL!$C$15, $D$11, 100%, $F$11)</f>
        <v>63.509900000000002</v>
      </c>
      <c r="K1017" s="4"/>
      <c r="L1017" s="9">
        <v>30.7165</v>
      </c>
      <c r="M1017" s="9">
        <v>12.063700000000001</v>
      </c>
      <c r="N1017" s="9">
        <v>4.9444999999999997</v>
      </c>
      <c r="O1017" s="9">
        <v>0.37409999999999999</v>
      </c>
      <c r="P1017" s="9">
        <v>1.2183999999999999</v>
      </c>
      <c r="Q1017" s="9">
        <v>19.688099999999999</v>
      </c>
      <c r="R1017" s="9"/>
      <c r="S1017" s="11"/>
    </row>
    <row r="1018" spans="1:19" ht="15.75">
      <c r="A1018" s="13">
        <v>72501</v>
      </c>
      <c r="B1018" s="8">
        <f>CHOOSE( CONTROL!$C$32, 65.1162, 65.1107) * CHOOSE(CONTROL!$C$15, $D$11, 100%, $F$11)</f>
        <v>65.116200000000006</v>
      </c>
      <c r="C1018" s="8">
        <f>CHOOSE( CONTROL!$C$32, 65.1243, 65.1188) * CHOOSE(CONTROL!$C$15, $D$11, 100%, $F$11)</f>
        <v>65.124300000000005</v>
      </c>
      <c r="D1018" s="8">
        <f>CHOOSE( CONTROL!$C$32, 65.1505, 65.1449) * CHOOSE( CONTROL!$C$15, $D$11, 100%, $F$11)</f>
        <v>65.150499999999994</v>
      </c>
      <c r="E1018" s="12">
        <f>CHOOSE( CONTROL!$C$32, 65.1398, 65.1342) * CHOOSE( CONTROL!$C$15, $D$11, 100%, $F$11)</f>
        <v>65.139799999999994</v>
      </c>
      <c r="F1018" s="4">
        <f>CHOOSE( CONTROL!$C$32, 65.8286, 65.8231) * CHOOSE(CONTROL!$C$15, $D$11, 100%, $F$11)</f>
        <v>65.828599999999994</v>
      </c>
      <c r="G1018" s="8">
        <f>CHOOSE( CONTROL!$C$32, 63.5852, 63.5798) * CHOOSE( CONTROL!$C$15, $D$11, 100%, $F$11)</f>
        <v>63.5852</v>
      </c>
      <c r="H1018" s="4">
        <f>CHOOSE( CONTROL!$C$32, 64.5298, 64.5244) * CHOOSE(CONTROL!$C$15, $D$11, 100%, $F$11)</f>
        <v>64.529799999999994</v>
      </c>
      <c r="I1018" s="8">
        <f>CHOOSE( CONTROL!$C$32, 62.6332, 62.6279) * CHOOSE(CONTROL!$C$15, $D$11, 100%, $F$11)</f>
        <v>62.633200000000002</v>
      </c>
      <c r="J1018" s="4">
        <f>CHOOSE( CONTROL!$C$32, 62.4889, 62.4835) * CHOOSE(CONTROL!$C$15, $D$11, 100%, $F$11)</f>
        <v>62.488900000000001</v>
      </c>
      <c r="K1018" s="4"/>
      <c r="L1018" s="9">
        <v>29.7257</v>
      </c>
      <c r="M1018" s="9">
        <v>11.6745</v>
      </c>
      <c r="N1018" s="9">
        <v>4.7850000000000001</v>
      </c>
      <c r="O1018" s="9">
        <v>0.36199999999999999</v>
      </c>
      <c r="P1018" s="9">
        <v>1.1791</v>
      </c>
      <c r="Q1018" s="9">
        <v>19.053000000000001</v>
      </c>
      <c r="R1018" s="9"/>
      <c r="S1018" s="11"/>
    </row>
    <row r="1019" spans="1:19" ht="15.75">
      <c r="A1019" s="13">
        <v>72532</v>
      </c>
      <c r="B1019" s="8">
        <f>CHOOSE( CONTROL!$C$32, 67.9167, 67.9111) * CHOOSE(CONTROL!$C$15, $D$11, 100%, $F$11)</f>
        <v>67.916700000000006</v>
      </c>
      <c r="C1019" s="8">
        <f>CHOOSE( CONTROL!$C$32, 67.9247, 67.9192) * CHOOSE(CONTROL!$C$15, $D$11, 100%, $F$11)</f>
        <v>67.924700000000001</v>
      </c>
      <c r="D1019" s="8">
        <f>CHOOSE( CONTROL!$C$32, 67.9511, 67.9455) * CHOOSE( CONTROL!$C$15, $D$11, 100%, $F$11)</f>
        <v>67.951099999999997</v>
      </c>
      <c r="E1019" s="12">
        <f>CHOOSE( CONTROL!$C$32, 67.9403, 67.9347) * CHOOSE( CONTROL!$C$15, $D$11, 100%, $F$11)</f>
        <v>67.940299999999993</v>
      </c>
      <c r="F1019" s="4">
        <f>CHOOSE( CONTROL!$C$32, 68.6291, 68.6235) * CHOOSE(CONTROL!$C$15, $D$11, 100%, $F$11)</f>
        <v>68.629099999999994</v>
      </c>
      <c r="G1019" s="8">
        <f>CHOOSE( CONTROL!$C$32, 66.3207, 66.3153) * CHOOSE( CONTROL!$C$15, $D$11, 100%, $F$11)</f>
        <v>66.320700000000002</v>
      </c>
      <c r="H1019" s="4">
        <f>CHOOSE( CONTROL!$C$32, 67.265, 67.2596) * CHOOSE(CONTROL!$C$15, $D$11, 100%, $F$11)</f>
        <v>67.265000000000001</v>
      </c>
      <c r="I1019" s="8">
        <f>CHOOSE( CONTROL!$C$32, 65.3242, 65.3188) * CHOOSE(CONTROL!$C$15, $D$11, 100%, $F$11)</f>
        <v>65.324200000000005</v>
      </c>
      <c r="J1019" s="4">
        <f>CHOOSE( CONTROL!$C$32, 65.1776, 65.1722) * CHOOSE(CONTROL!$C$15, $D$11, 100%, $F$11)</f>
        <v>65.177599999999998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1.2183999999999999</v>
      </c>
      <c r="Q1019" s="9">
        <v>19.688099999999999</v>
      </c>
      <c r="R1019" s="9"/>
      <c r="S1019" s="11"/>
    </row>
    <row r="1020" spans="1:19" ht="15.75">
      <c r="A1020" s="13">
        <v>72563</v>
      </c>
      <c r="B1020" s="8">
        <f>CHOOSE( CONTROL!$C$32, 62.6768, 62.6712) * CHOOSE(CONTROL!$C$15, $D$11, 100%, $F$11)</f>
        <v>62.6768</v>
      </c>
      <c r="C1020" s="8">
        <f>CHOOSE( CONTROL!$C$32, 62.6849, 62.6793) * CHOOSE(CONTROL!$C$15, $D$11, 100%, $F$11)</f>
        <v>62.684899999999999</v>
      </c>
      <c r="D1020" s="8">
        <f>CHOOSE( CONTROL!$C$32, 62.7113, 62.7057) * CHOOSE( CONTROL!$C$15, $D$11, 100%, $F$11)</f>
        <v>62.711300000000001</v>
      </c>
      <c r="E1020" s="12">
        <f>CHOOSE( CONTROL!$C$32, 62.7005, 62.6949) * CHOOSE( CONTROL!$C$15, $D$11, 100%, $F$11)</f>
        <v>62.700499999999998</v>
      </c>
      <c r="F1020" s="4">
        <f>CHOOSE( CONTROL!$C$32, 63.3892, 63.3836) * CHOOSE(CONTROL!$C$15, $D$11, 100%, $F$11)</f>
        <v>63.389200000000002</v>
      </c>
      <c r="G1020" s="8">
        <f>CHOOSE( CONTROL!$C$32, 61.203, 61.1975) * CHOOSE( CONTROL!$C$15, $D$11, 100%, $F$11)</f>
        <v>61.203000000000003</v>
      </c>
      <c r="H1020" s="4">
        <f>CHOOSE( CONTROL!$C$32, 62.1472, 62.1418) * CHOOSE(CONTROL!$C$15, $D$11, 100%, $F$11)</f>
        <v>62.147199999999998</v>
      </c>
      <c r="I1020" s="8">
        <f>CHOOSE( CONTROL!$C$32, 60.2911, 60.2858) * CHOOSE(CONTROL!$C$15, $D$11, 100%, $F$11)</f>
        <v>60.2911</v>
      </c>
      <c r="J1020" s="4">
        <f>CHOOSE( CONTROL!$C$32, 60.1467, 60.1414) * CHOOSE(CONTROL!$C$15, $D$11, 100%, $F$11)</f>
        <v>60.146700000000003</v>
      </c>
      <c r="K1020" s="4"/>
      <c r="L1020" s="9">
        <v>30.7165</v>
      </c>
      <c r="M1020" s="9">
        <v>12.063700000000001</v>
      </c>
      <c r="N1020" s="9">
        <v>4.9444999999999997</v>
      </c>
      <c r="O1020" s="9">
        <v>0.37409999999999999</v>
      </c>
      <c r="P1020" s="9">
        <v>1.2183999999999999</v>
      </c>
      <c r="Q1020" s="9">
        <v>19.688099999999999</v>
      </c>
      <c r="R1020" s="9"/>
      <c r="S1020" s="11"/>
    </row>
    <row r="1021" spans="1:19" ht="15.75">
      <c r="A1021" s="13">
        <v>72593</v>
      </c>
      <c r="B1021" s="8">
        <f>CHOOSE( CONTROL!$C$32, 61.3646, 61.3591) * CHOOSE(CONTROL!$C$15, $D$11, 100%, $F$11)</f>
        <v>61.364600000000003</v>
      </c>
      <c r="C1021" s="8">
        <f>CHOOSE( CONTROL!$C$32, 61.3727, 61.3672) * CHOOSE(CONTROL!$C$15, $D$11, 100%, $F$11)</f>
        <v>61.372700000000002</v>
      </c>
      <c r="D1021" s="8">
        <f>CHOOSE( CONTROL!$C$32, 61.3991, 61.3935) * CHOOSE( CONTROL!$C$15, $D$11, 100%, $F$11)</f>
        <v>61.399099999999997</v>
      </c>
      <c r="E1021" s="12">
        <f>CHOOSE( CONTROL!$C$32, 61.3883, 61.3827) * CHOOSE( CONTROL!$C$15, $D$11, 100%, $F$11)</f>
        <v>61.388300000000001</v>
      </c>
      <c r="F1021" s="4">
        <f>CHOOSE( CONTROL!$C$32, 62.077, 62.0715) * CHOOSE(CONTROL!$C$15, $D$11, 100%, $F$11)</f>
        <v>62.076999999999998</v>
      </c>
      <c r="G1021" s="8">
        <f>CHOOSE( CONTROL!$C$32, 59.9213, 59.9159) * CHOOSE( CONTROL!$C$15, $D$11, 100%, $F$11)</f>
        <v>59.921300000000002</v>
      </c>
      <c r="H1021" s="4">
        <f>CHOOSE( CONTROL!$C$32, 60.8656, 60.8602) * CHOOSE(CONTROL!$C$15, $D$11, 100%, $F$11)</f>
        <v>60.865600000000001</v>
      </c>
      <c r="I1021" s="8">
        <f>CHOOSE( CONTROL!$C$32, 59.0305, 59.0252) * CHOOSE(CONTROL!$C$15, $D$11, 100%, $F$11)</f>
        <v>59.030500000000004</v>
      </c>
      <c r="J1021" s="4">
        <f>CHOOSE( CONTROL!$C$32, 58.887, 58.8816) * CHOOSE(CONTROL!$C$15, $D$11, 100%, $F$11)</f>
        <v>58.887</v>
      </c>
      <c r="K1021" s="4"/>
      <c r="L1021" s="9">
        <v>29.7257</v>
      </c>
      <c r="M1021" s="9">
        <v>11.6745</v>
      </c>
      <c r="N1021" s="9">
        <v>4.7850000000000001</v>
      </c>
      <c r="O1021" s="9">
        <v>0.36199999999999999</v>
      </c>
      <c r="P1021" s="9">
        <v>1.1791</v>
      </c>
      <c r="Q1021" s="9">
        <v>19.053000000000001</v>
      </c>
      <c r="R1021" s="9"/>
      <c r="S1021" s="11"/>
    </row>
    <row r="1022" spans="1:19" ht="15.75">
      <c r="A1022" s="13">
        <v>72624</v>
      </c>
      <c r="B1022" s="8">
        <f>64.0818 * CHOOSE(CONTROL!$C$15, $D$11, 100%, $F$11)</f>
        <v>64.081800000000001</v>
      </c>
      <c r="C1022" s="8">
        <f>64.0872 * CHOOSE(CONTROL!$C$15, $D$11, 100%, $F$11)</f>
        <v>64.087199999999996</v>
      </c>
      <c r="D1022" s="8">
        <f>64.1184 * CHOOSE( CONTROL!$C$15, $D$11, 100%, $F$11)</f>
        <v>64.118399999999994</v>
      </c>
      <c r="E1022" s="12">
        <f>64.1075 * CHOOSE( CONTROL!$C$15, $D$11, 100%, $F$11)</f>
        <v>64.107500000000002</v>
      </c>
      <c r="F1022" s="4">
        <f>64.7959 * CHOOSE(CONTROL!$C$15, $D$11, 100%, $F$11)</f>
        <v>64.795900000000003</v>
      </c>
      <c r="G1022" s="8">
        <f>62.576 * CHOOSE( CONTROL!$C$15, $D$11, 100%, $F$11)</f>
        <v>62.576000000000001</v>
      </c>
      <c r="H1022" s="4">
        <f>63.5212 * CHOOSE(CONTROL!$C$15, $D$11, 100%, $F$11)</f>
        <v>63.5212</v>
      </c>
      <c r="I1022" s="8">
        <f>61.6431 * CHOOSE(CONTROL!$C$15, $D$11, 100%, $F$11)</f>
        <v>61.643099999999997</v>
      </c>
      <c r="J1022" s="4">
        <f>61.4973 * CHOOSE(CONTROL!$C$15, $D$11, 100%, $F$11)</f>
        <v>61.497300000000003</v>
      </c>
      <c r="K1022" s="4"/>
      <c r="L1022" s="9">
        <v>31.095300000000002</v>
      </c>
      <c r="M1022" s="9">
        <v>12.063700000000001</v>
      </c>
      <c r="N1022" s="9">
        <v>4.9444999999999997</v>
      </c>
      <c r="O1022" s="9">
        <v>0.37409999999999999</v>
      </c>
      <c r="P1022" s="9">
        <v>1.2183999999999999</v>
      </c>
      <c r="Q1022" s="9">
        <v>19.688099999999999</v>
      </c>
      <c r="R1022" s="9"/>
      <c r="S1022" s="11"/>
    </row>
    <row r="1023" spans="1:19" ht="15.75">
      <c r="A1023" s="13">
        <v>72654</v>
      </c>
      <c r="B1023" s="8">
        <f>69.1101 * CHOOSE(CONTROL!$C$15, $D$11, 100%, $F$11)</f>
        <v>69.110100000000003</v>
      </c>
      <c r="C1023" s="8">
        <f>69.1153 * CHOOSE(CONTROL!$C$15, $D$11, 100%, $F$11)</f>
        <v>69.115300000000005</v>
      </c>
      <c r="D1023" s="8">
        <f>69.1015 * CHOOSE( CONTROL!$C$15, $D$11, 100%, $F$11)</f>
        <v>69.101500000000001</v>
      </c>
      <c r="E1023" s="12">
        <f>69.106 * CHOOSE( CONTROL!$C$15, $D$11, 100%, $F$11)</f>
        <v>69.105999999999995</v>
      </c>
      <c r="F1023" s="4">
        <f>69.7606 * CHOOSE(CONTROL!$C$15, $D$11, 100%, $F$11)</f>
        <v>69.760599999999997</v>
      </c>
      <c r="G1023" s="8">
        <f>67.4952 * CHOOSE( CONTROL!$C$15, $D$11, 100%, $F$11)</f>
        <v>67.495199999999997</v>
      </c>
      <c r="H1023" s="4">
        <f>68.3702 * CHOOSE(CONTROL!$C$15, $D$11, 100%, $F$11)</f>
        <v>68.370199999999997</v>
      </c>
      <c r="I1023" s="8">
        <f>66.5172 * CHOOSE(CONTROL!$C$15, $D$11, 100%, $F$11)</f>
        <v>66.517200000000003</v>
      </c>
      <c r="J1023" s="4">
        <f>66.3255 * CHOOSE(CONTROL!$C$15, $D$11, 100%, $F$11)</f>
        <v>66.325500000000005</v>
      </c>
      <c r="K1023" s="4"/>
      <c r="L1023" s="9">
        <v>28.360600000000002</v>
      </c>
      <c r="M1023" s="9">
        <v>11.6745</v>
      </c>
      <c r="N1023" s="9">
        <v>4.7850000000000001</v>
      </c>
      <c r="O1023" s="9">
        <v>0.36199999999999999</v>
      </c>
      <c r="P1023" s="9">
        <v>1.2509999999999999</v>
      </c>
      <c r="Q1023" s="9">
        <v>19.053000000000001</v>
      </c>
      <c r="R1023" s="9"/>
      <c r="S1023" s="11"/>
    </row>
    <row r="1024" spans="1:19" ht="15.75">
      <c r="A1024" s="13">
        <v>72685</v>
      </c>
      <c r="B1024" s="8">
        <f>68.9845 * CHOOSE(CONTROL!$C$15, $D$11, 100%, $F$11)</f>
        <v>68.984499999999997</v>
      </c>
      <c r="C1024" s="8">
        <f>68.9897 * CHOOSE(CONTROL!$C$15, $D$11, 100%, $F$11)</f>
        <v>68.989699999999999</v>
      </c>
      <c r="D1024" s="8">
        <f>68.9774 * CHOOSE( CONTROL!$C$15, $D$11, 100%, $F$11)</f>
        <v>68.977400000000003</v>
      </c>
      <c r="E1024" s="12">
        <f>68.9813 * CHOOSE( CONTROL!$C$15, $D$11, 100%, $F$11)</f>
        <v>68.981300000000005</v>
      </c>
      <c r="F1024" s="4">
        <f>69.635 * CHOOSE(CONTROL!$C$15, $D$11, 100%, $F$11)</f>
        <v>69.635000000000005</v>
      </c>
      <c r="G1024" s="8">
        <f>67.3736 * CHOOSE( CONTROL!$C$15, $D$11, 100%, $F$11)</f>
        <v>67.373599999999996</v>
      </c>
      <c r="H1024" s="4">
        <f>68.2475 * CHOOSE(CONTROL!$C$15, $D$11, 100%, $F$11)</f>
        <v>68.247500000000002</v>
      </c>
      <c r="I1024" s="8">
        <f>66.4013 * CHOOSE(CONTROL!$C$15, $D$11, 100%, $F$11)</f>
        <v>66.401300000000006</v>
      </c>
      <c r="J1024" s="4">
        <f>66.2048 * CHOOSE(CONTROL!$C$15, $D$11, 100%, $F$11)</f>
        <v>66.204800000000006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72716</v>
      </c>
      <c r="B1025" s="8">
        <f>71.6199 * CHOOSE(CONTROL!$C$15, $D$11, 100%, $F$11)</f>
        <v>71.619900000000001</v>
      </c>
      <c r="C1025" s="8">
        <f>71.6251 * CHOOSE(CONTROL!$C$15, $D$11, 100%, $F$11)</f>
        <v>71.625100000000003</v>
      </c>
      <c r="D1025" s="8">
        <f>71.6076 * CHOOSE( CONTROL!$C$15, $D$11, 100%, $F$11)</f>
        <v>71.607600000000005</v>
      </c>
      <c r="E1025" s="12">
        <f>71.6134 * CHOOSE( CONTROL!$C$15, $D$11, 100%, $F$11)</f>
        <v>71.613399999999999</v>
      </c>
      <c r="F1025" s="4">
        <f>72.2704 * CHOOSE(CONTROL!$C$15, $D$11, 100%, $F$11)</f>
        <v>72.270399999999995</v>
      </c>
      <c r="G1025" s="8">
        <f>69.9376 * CHOOSE( CONTROL!$C$15, $D$11, 100%, $F$11)</f>
        <v>69.937600000000003</v>
      </c>
      <c r="H1025" s="4">
        <f>70.8216 * CHOOSE(CONTROL!$C$15, $D$11, 100%, $F$11)</f>
        <v>70.821600000000004</v>
      </c>
      <c r="I1025" s="8">
        <f>68.8927 * CHOOSE(CONTROL!$C$15, $D$11, 100%, $F$11)</f>
        <v>68.892700000000005</v>
      </c>
      <c r="J1025" s="4">
        <f>68.7351 * CHOOSE(CONTROL!$C$15, $D$11, 100%, $F$11)</f>
        <v>68.735100000000003</v>
      </c>
      <c r="K1025" s="4"/>
      <c r="L1025" s="9">
        <v>29.306000000000001</v>
      </c>
      <c r="M1025" s="9">
        <v>12.063700000000001</v>
      </c>
      <c r="N1025" s="9">
        <v>4.9444999999999997</v>
      </c>
      <c r="O1025" s="9">
        <v>0.37409999999999999</v>
      </c>
      <c r="P1025" s="9">
        <v>1.2927</v>
      </c>
      <c r="Q1025" s="9">
        <v>19.688099999999999</v>
      </c>
      <c r="R1025" s="9"/>
      <c r="S1025" s="11"/>
    </row>
    <row r="1026" spans="1:19" ht="15.75">
      <c r="A1026" s="13">
        <v>72744</v>
      </c>
      <c r="B1026" s="8">
        <f>66.9917 * CHOOSE(CONTROL!$C$15, $D$11, 100%, $F$11)</f>
        <v>66.991699999999994</v>
      </c>
      <c r="C1026" s="8">
        <f>66.9969 * CHOOSE(CONTROL!$C$15, $D$11, 100%, $F$11)</f>
        <v>66.996899999999997</v>
      </c>
      <c r="D1026" s="8">
        <f>66.9792 * CHOOSE( CONTROL!$C$15, $D$11, 100%, $F$11)</f>
        <v>66.979200000000006</v>
      </c>
      <c r="E1026" s="12">
        <f>66.9851 * CHOOSE( CONTROL!$C$15, $D$11, 100%, $F$11)</f>
        <v>66.985100000000003</v>
      </c>
      <c r="F1026" s="4">
        <f>67.6421 * CHOOSE(CONTROL!$C$15, $D$11, 100%, $F$11)</f>
        <v>67.642099999999999</v>
      </c>
      <c r="G1026" s="8">
        <f>65.4171 * CHOOSE( CONTROL!$C$15, $D$11, 100%, $F$11)</f>
        <v>65.417100000000005</v>
      </c>
      <c r="H1026" s="4">
        <f>66.3011 * CHOOSE(CONTROL!$C$15, $D$11, 100%, $F$11)</f>
        <v>66.301100000000005</v>
      </c>
      <c r="I1026" s="8">
        <f>64.4467 * CHOOSE(CONTROL!$C$15, $D$11, 100%, $F$11)</f>
        <v>64.446700000000007</v>
      </c>
      <c r="J1026" s="4">
        <f>64.2915 * CHOOSE(CONTROL!$C$15, $D$11, 100%, $F$11)</f>
        <v>64.291499999999999</v>
      </c>
      <c r="K1026" s="4"/>
      <c r="L1026" s="9">
        <v>26.469899999999999</v>
      </c>
      <c r="M1026" s="9">
        <v>10.8962</v>
      </c>
      <c r="N1026" s="9">
        <v>4.4660000000000002</v>
      </c>
      <c r="O1026" s="9">
        <v>0.33789999999999998</v>
      </c>
      <c r="P1026" s="9">
        <v>1.1676</v>
      </c>
      <c r="Q1026" s="9">
        <v>17.782800000000002</v>
      </c>
      <c r="R1026" s="9"/>
      <c r="S1026" s="11"/>
    </row>
    <row r="1027" spans="1:19" ht="15.75">
      <c r="A1027" s="13">
        <v>72775</v>
      </c>
      <c r="B1027" s="8">
        <f>65.5662 * CHOOSE(CONTROL!$C$15, $D$11, 100%, $F$11)</f>
        <v>65.566199999999995</v>
      </c>
      <c r="C1027" s="8">
        <f>65.5714 * CHOOSE(CONTROL!$C$15, $D$11, 100%, $F$11)</f>
        <v>65.571399999999997</v>
      </c>
      <c r="D1027" s="8">
        <f>65.5534 * CHOOSE( CONTROL!$C$15, $D$11, 100%, $F$11)</f>
        <v>65.553399999999996</v>
      </c>
      <c r="E1027" s="12">
        <f>65.5594 * CHOOSE( CONTROL!$C$15, $D$11, 100%, $F$11)</f>
        <v>65.559399999999997</v>
      </c>
      <c r="F1027" s="4">
        <f>66.2166 * CHOOSE(CONTROL!$C$15, $D$11, 100%, $F$11)</f>
        <v>66.2166</v>
      </c>
      <c r="G1027" s="8">
        <f>64.0246 * CHOOSE( CONTROL!$C$15, $D$11, 100%, $F$11)</f>
        <v>64.024600000000007</v>
      </c>
      <c r="H1027" s="4">
        <f>64.9088 * CHOOSE(CONTROL!$C$15, $D$11, 100%, $F$11)</f>
        <v>64.908799999999999</v>
      </c>
      <c r="I1027" s="8">
        <f>63.0762 * CHOOSE(CONTROL!$C$15, $D$11, 100%, $F$11)</f>
        <v>63.0762</v>
      </c>
      <c r="J1027" s="4">
        <f>62.9229 * CHOOSE(CONTROL!$C$15, $D$11, 100%, $F$11)</f>
        <v>62.922899999999998</v>
      </c>
      <c r="K1027" s="4"/>
      <c r="L1027" s="9">
        <v>29.306000000000001</v>
      </c>
      <c r="M1027" s="9">
        <v>12.063700000000001</v>
      </c>
      <c r="N1027" s="9">
        <v>4.9444999999999997</v>
      </c>
      <c r="O1027" s="9">
        <v>0.37409999999999999</v>
      </c>
      <c r="P1027" s="9">
        <v>1.2927</v>
      </c>
      <c r="Q1027" s="9">
        <v>19.688099999999999</v>
      </c>
      <c r="R1027" s="9"/>
      <c r="S1027" s="11"/>
    </row>
    <row r="1028" spans="1:19" ht="15.75">
      <c r="A1028" s="13">
        <v>72805</v>
      </c>
      <c r="B1028" s="8">
        <f>66.563 * CHOOSE(CONTROL!$C$15, $D$11, 100%, $F$11)</f>
        <v>66.563000000000002</v>
      </c>
      <c r="C1028" s="8">
        <f>66.5677 * CHOOSE(CONTROL!$C$15, $D$11, 100%, $F$11)</f>
        <v>66.567700000000002</v>
      </c>
      <c r="D1028" s="8">
        <f>66.5988 * CHOOSE( CONTROL!$C$15, $D$11, 100%, $F$11)</f>
        <v>66.598799999999997</v>
      </c>
      <c r="E1028" s="12">
        <f>66.588 * CHOOSE( CONTROL!$C$15, $D$11, 100%, $F$11)</f>
        <v>66.587999999999994</v>
      </c>
      <c r="F1028" s="4">
        <f>67.2768 * CHOOSE(CONTROL!$C$15, $D$11, 100%, $F$11)</f>
        <v>67.276799999999994</v>
      </c>
      <c r="G1028" s="8">
        <f>64.9983 * CHOOSE( CONTROL!$C$15, $D$11, 100%, $F$11)</f>
        <v>64.9983</v>
      </c>
      <c r="H1028" s="4">
        <f>65.9443 * CHOOSE(CONTROL!$C$15, $D$11, 100%, $F$11)</f>
        <v>65.944299999999998</v>
      </c>
      <c r="I1028" s="8">
        <f>64.0235 * CHOOSE(CONTROL!$C$15, $D$11, 100%, $F$11)</f>
        <v>64.023499999999999</v>
      </c>
      <c r="J1028" s="4">
        <f>63.8793 * CHOOSE(CONTROL!$C$15, $D$11, 100%, $F$11)</f>
        <v>63.879300000000001</v>
      </c>
      <c r="K1028" s="4"/>
      <c r="L1028" s="9">
        <v>30.092199999999998</v>
      </c>
      <c r="M1028" s="9">
        <v>11.6745</v>
      </c>
      <c r="N1028" s="9">
        <v>4.7850000000000001</v>
      </c>
      <c r="O1028" s="9">
        <v>0.36199999999999999</v>
      </c>
      <c r="P1028" s="9">
        <v>1.1791</v>
      </c>
      <c r="Q1028" s="9">
        <v>19.053000000000001</v>
      </c>
      <c r="R1028" s="9"/>
      <c r="S1028" s="11"/>
    </row>
    <row r="1029" spans="1:19" ht="15.75">
      <c r="A1029" s="13">
        <v>72836</v>
      </c>
      <c r="B1029" s="8">
        <f>CHOOSE( CONTROL!$C$32, 68.3428, 68.3372) * CHOOSE(CONTROL!$C$15, $D$11, 100%, $F$11)</f>
        <v>68.342799999999997</v>
      </c>
      <c r="C1029" s="8">
        <f>CHOOSE( CONTROL!$C$32, 68.3509, 68.3453) * CHOOSE(CONTROL!$C$15, $D$11, 100%, $F$11)</f>
        <v>68.350899999999996</v>
      </c>
      <c r="D1029" s="8">
        <f>CHOOSE( CONTROL!$C$32, 68.3769, 68.3713) * CHOOSE( CONTROL!$C$15, $D$11, 100%, $F$11)</f>
        <v>68.376900000000006</v>
      </c>
      <c r="E1029" s="12">
        <f>CHOOSE( CONTROL!$C$32, 68.3662, 68.3606) * CHOOSE( CONTROL!$C$15, $D$11, 100%, $F$11)</f>
        <v>68.366200000000006</v>
      </c>
      <c r="F1029" s="4">
        <f>CHOOSE( CONTROL!$C$32, 69.0552, 69.0496) * CHOOSE(CONTROL!$C$15, $D$11, 100%, $F$11)</f>
        <v>69.055199999999999</v>
      </c>
      <c r="G1029" s="8">
        <f>CHOOSE( CONTROL!$C$32, 66.7364, 66.731) * CHOOSE( CONTROL!$C$15, $D$11, 100%, $F$11)</f>
        <v>66.736400000000003</v>
      </c>
      <c r="H1029" s="4">
        <f>CHOOSE( CONTROL!$C$32, 67.6813, 67.6758) * CHOOSE(CONTROL!$C$15, $D$11, 100%, $F$11)</f>
        <v>67.681299999999993</v>
      </c>
      <c r="I1029" s="8">
        <f>CHOOSE( CONTROL!$C$32, 65.7318, 65.7264) * CHOOSE(CONTROL!$C$15, $D$11, 100%, $F$11)</f>
        <v>65.731800000000007</v>
      </c>
      <c r="J1029" s="4">
        <f>CHOOSE( CONTROL!$C$32, 65.5867, 65.5814) * CHOOSE(CONTROL!$C$15, $D$11, 100%, $F$11)</f>
        <v>65.586699999999993</v>
      </c>
      <c r="K1029" s="4"/>
      <c r="L1029" s="9">
        <v>30.7165</v>
      </c>
      <c r="M1029" s="9">
        <v>12.063700000000001</v>
      </c>
      <c r="N1029" s="9">
        <v>4.9444999999999997</v>
      </c>
      <c r="O1029" s="9">
        <v>0.37409999999999999</v>
      </c>
      <c r="P1029" s="9">
        <v>1.2183999999999999</v>
      </c>
      <c r="Q1029" s="9">
        <v>19.688099999999999</v>
      </c>
      <c r="R1029" s="9"/>
      <c r="S1029" s="11"/>
    </row>
    <row r="1030" spans="1:19" ht="15.75">
      <c r="A1030" s="13">
        <v>72866</v>
      </c>
      <c r="B1030" s="8">
        <f>CHOOSE( CONTROL!$C$32, 67.2446, 67.239) * CHOOSE(CONTROL!$C$15, $D$11, 100%, $F$11)</f>
        <v>67.244600000000005</v>
      </c>
      <c r="C1030" s="8">
        <f>CHOOSE( CONTROL!$C$32, 67.2527, 67.2471) * CHOOSE(CONTROL!$C$15, $D$11, 100%, $F$11)</f>
        <v>67.252700000000004</v>
      </c>
      <c r="D1030" s="8">
        <f>CHOOSE( CONTROL!$C$32, 67.2788, 67.2733) * CHOOSE( CONTROL!$C$15, $D$11, 100%, $F$11)</f>
        <v>67.278800000000004</v>
      </c>
      <c r="E1030" s="12">
        <f>CHOOSE( CONTROL!$C$32, 67.2681, 67.2626) * CHOOSE( CONTROL!$C$15, $D$11, 100%, $F$11)</f>
        <v>67.268100000000004</v>
      </c>
      <c r="F1030" s="4">
        <f>CHOOSE( CONTROL!$C$32, 67.957, 67.9514) * CHOOSE(CONTROL!$C$15, $D$11, 100%, $F$11)</f>
        <v>67.956999999999994</v>
      </c>
      <c r="G1030" s="8">
        <f>CHOOSE( CONTROL!$C$32, 65.664, 65.6586) * CHOOSE( CONTROL!$C$15, $D$11, 100%, $F$11)</f>
        <v>65.664000000000001</v>
      </c>
      <c r="H1030" s="4">
        <f>CHOOSE( CONTROL!$C$32, 66.6086, 66.6032) * CHOOSE(CONTROL!$C$15, $D$11, 100%, $F$11)</f>
        <v>66.608599999999996</v>
      </c>
      <c r="I1030" s="8">
        <f>CHOOSE( CONTROL!$C$32, 64.6777, 64.6723) * CHOOSE(CONTROL!$C$15, $D$11, 100%, $F$11)</f>
        <v>64.677700000000002</v>
      </c>
      <c r="J1030" s="4">
        <f>CHOOSE( CONTROL!$C$32, 64.5323, 64.527) * CHOOSE(CONTROL!$C$15, $D$11, 100%, $F$11)</f>
        <v>64.532300000000006</v>
      </c>
      <c r="K1030" s="4"/>
      <c r="L1030" s="9">
        <v>29.7257</v>
      </c>
      <c r="M1030" s="9">
        <v>11.6745</v>
      </c>
      <c r="N1030" s="9">
        <v>4.7850000000000001</v>
      </c>
      <c r="O1030" s="9">
        <v>0.36199999999999999</v>
      </c>
      <c r="P1030" s="9">
        <v>1.1791</v>
      </c>
      <c r="Q1030" s="9">
        <v>19.053000000000001</v>
      </c>
      <c r="R1030" s="9"/>
      <c r="S1030" s="11"/>
    </row>
    <row r="1031" spans="1:19" ht="15.75">
      <c r="A1031" s="13">
        <v>72897</v>
      </c>
      <c r="B1031" s="8">
        <f>CHOOSE( CONTROL!$C$32, 70.1366, 70.131) * CHOOSE(CONTROL!$C$15, $D$11, 100%, $F$11)</f>
        <v>70.136600000000001</v>
      </c>
      <c r="C1031" s="8">
        <f>CHOOSE( CONTROL!$C$32, 70.1447, 70.1391) * CHOOSE(CONTROL!$C$15, $D$11, 100%, $F$11)</f>
        <v>70.1447</v>
      </c>
      <c r="D1031" s="8">
        <f>CHOOSE( CONTROL!$C$32, 70.171, 70.1655) * CHOOSE( CONTROL!$C$15, $D$11, 100%, $F$11)</f>
        <v>70.171000000000006</v>
      </c>
      <c r="E1031" s="12">
        <f>CHOOSE( CONTROL!$C$32, 70.1602, 70.1547) * CHOOSE( CONTROL!$C$15, $D$11, 100%, $F$11)</f>
        <v>70.160200000000003</v>
      </c>
      <c r="F1031" s="4">
        <f>CHOOSE( CONTROL!$C$32, 70.849, 70.8434) * CHOOSE(CONTROL!$C$15, $D$11, 100%, $F$11)</f>
        <v>70.849000000000004</v>
      </c>
      <c r="G1031" s="8">
        <f>CHOOSE( CONTROL!$C$32, 68.4889, 68.4835) * CHOOSE( CONTROL!$C$15, $D$11, 100%, $F$11)</f>
        <v>68.488900000000001</v>
      </c>
      <c r="H1031" s="4">
        <f>CHOOSE( CONTROL!$C$32, 69.4333, 69.4278) * CHOOSE(CONTROL!$C$15, $D$11, 100%, $F$11)</f>
        <v>69.433300000000003</v>
      </c>
      <c r="I1031" s="8">
        <f>CHOOSE( CONTROL!$C$32, 67.4566, 67.4513) * CHOOSE(CONTROL!$C$15, $D$11, 100%, $F$11)</f>
        <v>67.456599999999995</v>
      </c>
      <c r="J1031" s="4">
        <f>CHOOSE( CONTROL!$C$32, 67.3089, 67.3036) * CHOOSE(CONTROL!$C$15, $D$11, 100%, $F$11)</f>
        <v>67.308899999999994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1.2183999999999999</v>
      </c>
      <c r="Q1031" s="9">
        <v>19.688099999999999</v>
      </c>
      <c r="R1031" s="9"/>
      <c r="S1031" s="11"/>
    </row>
    <row r="1032" spans="1:19" ht="15.75">
      <c r="A1032" s="13">
        <v>72928</v>
      </c>
      <c r="B1032" s="8">
        <f>CHOOSE( CONTROL!$C$32, 64.7254, 64.7198) * CHOOSE(CONTROL!$C$15, $D$11, 100%, $F$11)</f>
        <v>64.725399999999993</v>
      </c>
      <c r="C1032" s="8">
        <f>CHOOSE( CONTROL!$C$32, 64.7334, 64.7279) * CHOOSE(CONTROL!$C$15, $D$11, 100%, $F$11)</f>
        <v>64.733400000000003</v>
      </c>
      <c r="D1032" s="8">
        <f>CHOOSE( CONTROL!$C$32, 64.7598, 64.7543) * CHOOSE( CONTROL!$C$15, $D$11, 100%, $F$11)</f>
        <v>64.759799999999998</v>
      </c>
      <c r="E1032" s="12">
        <f>CHOOSE( CONTROL!$C$32, 64.749, 64.7435) * CHOOSE( CONTROL!$C$15, $D$11, 100%, $F$11)</f>
        <v>64.748999999999995</v>
      </c>
      <c r="F1032" s="4">
        <f>CHOOSE( CONTROL!$C$32, 65.4377, 65.4322) * CHOOSE(CONTROL!$C$15, $D$11, 100%, $F$11)</f>
        <v>65.437700000000007</v>
      </c>
      <c r="G1032" s="8">
        <f>CHOOSE( CONTROL!$C$32, 63.2038, 63.1984) * CHOOSE( CONTROL!$C$15, $D$11, 100%, $F$11)</f>
        <v>63.203800000000001</v>
      </c>
      <c r="H1032" s="4">
        <f>CHOOSE( CONTROL!$C$32, 64.1481, 64.1426) * CHOOSE(CONTROL!$C$15, $D$11, 100%, $F$11)</f>
        <v>64.148099999999999</v>
      </c>
      <c r="I1032" s="8">
        <f>CHOOSE( CONTROL!$C$32, 62.259, 62.2536) * CHOOSE(CONTROL!$C$15, $D$11, 100%, $F$11)</f>
        <v>62.259</v>
      </c>
      <c r="J1032" s="4">
        <f>CHOOSE( CONTROL!$C$32, 62.1136, 62.1082) * CHOOSE(CONTROL!$C$15, $D$11, 100%, $F$11)</f>
        <v>62.113599999999998</v>
      </c>
      <c r="K1032" s="4"/>
      <c r="L1032" s="9">
        <v>30.7165</v>
      </c>
      <c r="M1032" s="9">
        <v>12.063700000000001</v>
      </c>
      <c r="N1032" s="9">
        <v>4.9444999999999997</v>
      </c>
      <c r="O1032" s="9">
        <v>0.37409999999999999</v>
      </c>
      <c r="P1032" s="9">
        <v>1.2183999999999999</v>
      </c>
      <c r="Q1032" s="9">
        <v>19.688099999999999</v>
      </c>
      <c r="R1032" s="9"/>
      <c r="S1032" s="11"/>
    </row>
    <row r="1033" spans="1:19" ht="15.75">
      <c r="A1033" s="13">
        <v>72958</v>
      </c>
      <c r="B1033" s="8">
        <f>CHOOSE( CONTROL!$C$32, 63.3703, 63.3647) * CHOOSE(CONTROL!$C$15, $D$11, 100%, $F$11)</f>
        <v>63.3703</v>
      </c>
      <c r="C1033" s="8">
        <f>CHOOSE( CONTROL!$C$32, 63.3784, 63.3728) * CHOOSE(CONTROL!$C$15, $D$11, 100%, $F$11)</f>
        <v>63.378399999999999</v>
      </c>
      <c r="D1033" s="8">
        <f>CHOOSE( CONTROL!$C$32, 63.4048, 63.3992) * CHOOSE( CONTROL!$C$15, $D$11, 100%, $F$11)</f>
        <v>63.404800000000002</v>
      </c>
      <c r="E1033" s="12">
        <f>CHOOSE( CONTROL!$C$32, 63.394, 63.3884) * CHOOSE( CONTROL!$C$15, $D$11, 100%, $F$11)</f>
        <v>63.393999999999998</v>
      </c>
      <c r="F1033" s="4">
        <f>CHOOSE( CONTROL!$C$32, 64.0827, 64.0771) * CHOOSE(CONTROL!$C$15, $D$11, 100%, $F$11)</f>
        <v>64.082700000000003</v>
      </c>
      <c r="G1033" s="8">
        <f>CHOOSE( CONTROL!$C$32, 61.8803, 61.8749) * CHOOSE( CONTROL!$C$15, $D$11, 100%, $F$11)</f>
        <v>61.880299999999998</v>
      </c>
      <c r="H1033" s="4">
        <f>CHOOSE( CONTROL!$C$32, 62.8246, 62.8192) * CHOOSE(CONTROL!$C$15, $D$11, 100%, $F$11)</f>
        <v>62.824599999999997</v>
      </c>
      <c r="I1033" s="8">
        <f>CHOOSE( CONTROL!$C$32, 60.9571, 60.9518) * CHOOSE(CONTROL!$C$15, $D$11, 100%, $F$11)</f>
        <v>60.957099999999997</v>
      </c>
      <c r="J1033" s="4">
        <f>CHOOSE( CONTROL!$C$32, 60.8126, 60.8073) * CHOOSE(CONTROL!$C$15, $D$11, 100%, $F$11)</f>
        <v>60.812600000000003</v>
      </c>
      <c r="K1033" s="4"/>
      <c r="L1033" s="9">
        <v>29.7257</v>
      </c>
      <c r="M1033" s="9">
        <v>11.6745</v>
      </c>
      <c r="N1033" s="9">
        <v>4.7850000000000001</v>
      </c>
      <c r="O1033" s="9">
        <v>0.36199999999999999</v>
      </c>
      <c r="P1033" s="9">
        <v>1.1791</v>
      </c>
      <c r="Q1033" s="9">
        <v>19.053000000000001</v>
      </c>
      <c r="R1033" s="9"/>
      <c r="S1033" s="11"/>
    </row>
    <row r="1034" spans="1:19" ht="15.75">
      <c r="A1034" s="13">
        <v>72989</v>
      </c>
      <c r="B1034" s="8">
        <f>66.1766 * CHOOSE(CONTROL!$C$15, $D$11, 100%, $F$11)</f>
        <v>66.176599999999993</v>
      </c>
      <c r="C1034" s="8">
        <f>66.182 * CHOOSE(CONTROL!$C$15, $D$11, 100%, $F$11)</f>
        <v>66.182000000000002</v>
      </c>
      <c r="D1034" s="8">
        <f>66.2132 * CHOOSE( CONTROL!$C$15, $D$11, 100%, $F$11)</f>
        <v>66.213200000000001</v>
      </c>
      <c r="E1034" s="12">
        <f>66.2023 * CHOOSE( CONTROL!$C$15, $D$11, 100%, $F$11)</f>
        <v>66.202299999999994</v>
      </c>
      <c r="F1034" s="4">
        <f>66.8907 * CHOOSE(CONTROL!$C$15, $D$11, 100%, $F$11)</f>
        <v>66.890699999999995</v>
      </c>
      <c r="G1034" s="8">
        <f>64.622 * CHOOSE( CONTROL!$C$15, $D$11, 100%, $F$11)</f>
        <v>64.622</v>
      </c>
      <c r="H1034" s="4">
        <f>65.5671 * CHOOSE(CONTROL!$C$15, $D$11, 100%, $F$11)</f>
        <v>65.567099999999996</v>
      </c>
      <c r="I1034" s="8">
        <f>63.6553 * CHOOSE(CONTROL!$C$15, $D$11, 100%, $F$11)</f>
        <v>63.655299999999997</v>
      </c>
      <c r="J1034" s="4">
        <f>63.5085 * CHOOSE(CONTROL!$C$15, $D$11, 100%, $F$11)</f>
        <v>63.508499999999998</v>
      </c>
      <c r="K1034" s="4"/>
      <c r="L1034" s="9">
        <v>31.095300000000002</v>
      </c>
      <c r="M1034" s="9">
        <v>12.063700000000001</v>
      </c>
      <c r="N1034" s="9">
        <v>4.9444999999999997</v>
      </c>
      <c r="O1034" s="9">
        <v>0.37409999999999999</v>
      </c>
      <c r="P1034" s="9">
        <v>1.2183999999999999</v>
      </c>
      <c r="Q1034" s="9">
        <v>19.688099999999999</v>
      </c>
      <c r="R1034" s="9"/>
      <c r="S1034" s="11"/>
    </row>
    <row r="1035" spans="1:19" ht="15.75">
      <c r="A1035" s="13">
        <v>73019</v>
      </c>
      <c r="B1035" s="8">
        <f>71.3694 * CHOOSE(CONTROL!$C$15, $D$11, 100%, $F$11)</f>
        <v>71.369399999999999</v>
      </c>
      <c r="C1035" s="8">
        <f>71.3745 * CHOOSE(CONTROL!$C$15, $D$11, 100%, $F$11)</f>
        <v>71.374499999999998</v>
      </c>
      <c r="D1035" s="8">
        <f>71.3608 * CHOOSE( CONTROL!$C$15, $D$11, 100%, $F$11)</f>
        <v>71.360799999999998</v>
      </c>
      <c r="E1035" s="12">
        <f>71.3653 * CHOOSE( CONTROL!$C$15, $D$11, 100%, $F$11)</f>
        <v>71.365300000000005</v>
      </c>
      <c r="F1035" s="4">
        <f>72.0198 * CHOOSE(CONTROL!$C$15, $D$11, 100%, $F$11)</f>
        <v>72.019800000000004</v>
      </c>
      <c r="G1035" s="8">
        <f>69.7018 * CHOOSE( CONTROL!$C$15, $D$11, 100%, $F$11)</f>
        <v>69.701800000000006</v>
      </c>
      <c r="H1035" s="4">
        <f>70.5768 * CHOOSE(CONTROL!$C$15, $D$11, 100%, $F$11)</f>
        <v>70.576800000000006</v>
      </c>
      <c r="I1035" s="8">
        <f>68.6874 * CHOOSE(CONTROL!$C$15, $D$11, 100%, $F$11)</f>
        <v>68.687399999999997</v>
      </c>
      <c r="J1035" s="4">
        <f>68.4945 * CHOOSE(CONTROL!$C$15, $D$11, 100%, $F$11)</f>
        <v>68.494500000000002</v>
      </c>
      <c r="K1035" s="4"/>
      <c r="L1035" s="9">
        <v>28.360600000000002</v>
      </c>
      <c r="M1035" s="9">
        <v>11.6745</v>
      </c>
      <c r="N1035" s="9">
        <v>4.7850000000000001</v>
      </c>
      <c r="O1035" s="9">
        <v>0.36199999999999999</v>
      </c>
      <c r="P1035" s="9">
        <v>1.2509999999999999</v>
      </c>
      <c r="Q1035" s="9">
        <v>19.053000000000001</v>
      </c>
      <c r="R1035" s="9"/>
      <c r="S1035" s="11"/>
    </row>
    <row r="1036" spans="1:19" ht="15.75">
      <c r="A1036" s="13">
        <v>73050</v>
      </c>
      <c r="B1036" s="8">
        <f>71.2396 * CHOOSE(CONTROL!$C$15, $D$11, 100%, $F$11)</f>
        <v>71.239599999999996</v>
      </c>
      <c r="C1036" s="8">
        <f>71.2448 * CHOOSE(CONTROL!$C$15, $D$11, 100%, $F$11)</f>
        <v>71.244799999999998</v>
      </c>
      <c r="D1036" s="8">
        <f>71.2325 * CHOOSE( CONTROL!$C$15, $D$11, 100%, $F$11)</f>
        <v>71.232500000000002</v>
      </c>
      <c r="E1036" s="12">
        <f>71.2364 * CHOOSE( CONTROL!$C$15, $D$11, 100%, $F$11)</f>
        <v>71.236400000000003</v>
      </c>
      <c r="F1036" s="4">
        <f>71.8901 * CHOOSE(CONTROL!$C$15, $D$11, 100%, $F$11)</f>
        <v>71.890100000000004</v>
      </c>
      <c r="G1036" s="8">
        <f>69.5762 * CHOOSE( CONTROL!$C$15, $D$11, 100%, $F$11)</f>
        <v>69.5762</v>
      </c>
      <c r="H1036" s="4">
        <f>70.4501 * CHOOSE(CONTROL!$C$15, $D$11, 100%, $F$11)</f>
        <v>70.450100000000006</v>
      </c>
      <c r="I1036" s="8">
        <f>68.5675 * CHOOSE(CONTROL!$C$15, $D$11, 100%, $F$11)</f>
        <v>68.567499999999995</v>
      </c>
      <c r="J1036" s="4">
        <f>68.37 * CHOOSE(CONTROL!$C$15, $D$11, 100%, $F$11)</f>
        <v>68.37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 ht="15.75">
      <c r="A1037" s="13">
        <v>73081</v>
      </c>
      <c r="B1037" s="8">
        <f>73.9613 * CHOOSE(CONTROL!$C$15, $D$11, 100%, $F$11)</f>
        <v>73.961299999999994</v>
      </c>
      <c r="C1037" s="8">
        <f>73.9664 * CHOOSE(CONTROL!$C$15, $D$11, 100%, $F$11)</f>
        <v>73.966399999999993</v>
      </c>
      <c r="D1037" s="8">
        <f>73.9489 * CHOOSE( CONTROL!$C$15, $D$11, 100%, $F$11)</f>
        <v>73.948899999999995</v>
      </c>
      <c r="E1037" s="12">
        <f>73.9548 * CHOOSE( CONTROL!$C$15, $D$11, 100%, $F$11)</f>
        <v>73.954800000000006</v>
      </c>
      <c r="F1037" s="4">
        <f>74.6117 * CHOOSE(CONTROL!$C$15, $D$11, 100%, $F$11)</f>
        <v>74.611699999999999</v>
      </c>
      <c r="G1037" s="8">
        <f>72.2244 * CHOOSE( CONTROL!$C$15, $D$11, 100%, $F$11)</f>
        <v>72.224400000000003</v>
      </c>
      <c r="H1037" s="4">
        <f>73.1083 * CHOOSE(CONTROL!$C$15, $D$11, 100%, $F$11)</f>
        <v>73.1083</v>
      </c>
      <c r="I1037" s="8">
        <f>71.1417 * CHOOSE(CONTROL!$C$15, $D$11, 100%, $F$11)</f>
        <v>71.1417</v>
      </c>
      <c r="J1037" s="4">
        <f>70.983 * CHOOSE(CONTROL!$C$15, $D$11, 100%, $F$11)</f>
        <v>70.983000000000004</v>
      </c>
      <c r="K1037" s="4"/>
      <c r="L1037" s="9">
        <v>29.306000000000001</v>
      </c>
      <c r="M1037" s="9">
        <v>12.063700000000001</v>
      </c>
      <c r="N1037" s="9">
        <v>4.9444999999999997</v>
      </c>
      <c r="O1037" s="9">
        <v>0.37409999999999999</v>
      </c>
      <c r="P1037" s="9">
        <v>1.2927</v>
      </c>
      <c r="Q1037" s="9">
        <v>19.688099999999999</v>
      </c>
      <c r="R1037" s="9"/>
      <c r="S1037" s="11"/>
    </row>
    <row r="1038" spans="1:19" ht="15.75">
      <c r="A1038" s="13">
        <v>73109</v>
      </c>
      <c r="B1038" s="8">
        <f>69.1816 * CHOOSE(CONTROL!$C$15, $D$11, 100%, $F$11)</f>
        <v>69.181600000000003</v>
      </c>
      <c r="C1038" s="8">
        <f>69.1868 * CHOOSE(CONTROL!$C$15, $D$11, 100%, $F$11)</f>
        <v>69.186800000000005</v>
      </c>
      <c r="D1038" s="8">
        <f>69.1692 * CHOOSE( CONTROL!$C$15, $D$11, 100%, $F$11)</f>
        <v>69.169200000000004</v>
      </c>
      <c r="E1038" s="12">
        <f>69.1751 * CHOOSE( CONTROL!$C$15, $D$11, 100%, $F$11)</f>
        <v>69.1751</v>
      </c>
      <c r="F1038" s="4">
        <f>69.8321 * CHOOSE(CONTROL!$C$15, $D$11, 100%, $F$11)</f>
        <v>69.832099999999997</v>
      </c>
      <c r="G1038" s="8">
        <f>67.556 * CHOOSE( CONTROL!$C$15, $D$11, 100%, $F$11)</f>
        <v>67.555999999999997</v>
      </c>
      <c r="H1038" s="4">
        <f>68.44 * CHOOSE(CONTROL!$C$15, $D$11, 100%, $F$11)</f>
        <v>68.44</v>
      </c>
      <c r="I1038" s="8">
        <f>66.5503 * CHOOSE(CONTROL!$C$15, $D$11, 100%, $F$11)</f>
        <v>66.550299999999993</v>
      </c>
      <c r="J1038" s="4">
        <f>66.3941 * CHOOSE(CONTROL!$C$15, $D$11, 100%, $F$11)</f>
        <v>66.394099999999995</v>
      </c>
      <c r="K1038" s="4"/>
      <c r="L1038" s="9">
        <v>26.469899999999999</v>
      </c>
      <c r="M1038" s="9">
        <v>10.8962</v>
      </c>
      <c r="N1038" s="9">
        <v>4.4660000000000002</v>
      </c>
      <c r="O1038" s="9">
        <v>0.33789999999999998</v>
      </c>
      <c r="P1038" s="9">
        <v>1.1676</v>
      </c>
      <c r="Q1038" s="9">
        <v>17.782800000000002</v>
      </c>
      <c r="R1038" s="9"/>
      <c r="S1038" s="11"/>
    </row>
    <row r="1039" spans="1:19" ht="15.75">
      <c r="A1039" s="13">
        <v>73140</v>
      </c>
      <c r="B1039" s="8">
        <f>67.7095 * CHOOSE(CONTROL!$C$15, $D$11, 100%, $F$11)</f>
        <v>67.709500000000006</v>
      </c>
      <c r="C1039" s="8">
        <f>67.7147 * CHOOSE(CONTROL!$C$15, $D$11, 100%, $F$11)</f>
        <v>67.714699999999993</v>
      </c>
      <c r="D1039" s="8">
        <f>67.6967 * CHOOSE( CONTROL!$C$15, $D$11, 100%, $F$11)</f>
        <v>67.696700000000007</v>
      </c>
      <c r="E1039" s="12">
        <f>67.7027 * CHOOSE( CONTROL!$C$15, $D$11, 100%, $F$11)</f>
        <v>67.702699999999993</v>
      </c>
      <c r="F1039" s="4">
        <f>68.36 * CHOOSE(CONTROL!$C$15, $D$11, 100%, $F$11)</f>
        <v>68.36</v>
      </c>
      <c r="G1039" s="8">
        <f>66.118 * CHOOSE( CONTROL!$C$15, $D$11, 100%, $F$11)</f>
        <v>66.117999999999995</v>
      </c>
      <c r="H1039" s="4">
        <f>67.0022 * CHOOSE(CONTROL!$C$15, $D$11, 100%, $F$11)</f>
        <v>67.002200000000002</v>
      </c>
      <c r="I1039" s="8">
        <f>65.135 * CHOOSE(CONTROL!$C$15, $D$11, 100%, $F$11)</f>
        <v>65.135000000000005</v>
      </c>
      <c r="J1039" s="4">
        <f>64.9807 * CHOOSE(CONTROL!$C$15, $D$11, 100%, $F$11)</f>
        <v>64.980699999999999</v>
      </c>
      <c r="K1039" s="4"/>
      <c r="L1039" s="9">
        <v>29.306000000000001</v>
      </c>
      <c r="M1039" s="9">
        <v>12.063700000000001</v>
      </c>
      <c r="N1039" s="9">
        <v>4.9444999999999997</v>
      </c>
      <c r="O1039" s="9">
        <v>0.37409999999999999</v>
      </c>
      <c r="P1039" s="9">
        <v>1.2927</v>
      </c>
      <c r="Q1039" s="9">
        <v>19.688099999999999</v>
      </c>
      <c r="R1039" s="9"/>
      <c r="S1039" s="11"/>
    </row>
    <row r="1040" spans="1:19" ht="15.75">
      <c r="A1040" s="13">
        <v>73170</v>
      </c>
      <c r="B1040" s="8">
        <f>68.739 * CHOOSE(CONTROL!$C$15, $D$11, 100%, $F$11)</f>
        <v>68.739000000000004</v>
      </c>
      <c r="C1040" s="8">
        <f>68.7436 * CHOOSE(CONTROL!$C$15, $D$11, 100%, $F$11)</f>
        <v>68.743600000000001</v>
      </c>
      <c r="D1040" s="8">
        <f>68.7747 * CHOOSE( CONTROL!$C$15, $D$11, 100%, $F$11)</f>
        <v>68.774699999999996</v>
      </c>
      <c r="E1040" s="12">
        <f>68.7639 * CHOOSE( CONTROL!$C$15, $D$11, 100%, $F$11)</f>
        <v>68.763900000000007</v>
      </c>
      <c r="F1040" s="4">
        <f>69.4527 * CHOOSE(CONTROL!$C$15, $D$11, 100%, $F$11)</f>
        <v>69.452699999999993</v>
      </c>
      <c r="G1040" s="8">
        <f>67.1235 * CHOOSE( CONTROL!$C$15, $D$11, 100%, $F$11)</f>
        <v>67.123500000000007</v>
      </c>
      <c r="H1040" s="4">
        <f>68.0695 * CHOOSE(CONTROL!$C$15, $D$11, 100%, $F$11)</f>
        <v>68.069500000000005</v>
      </c>
      <c r="I1040" s="8">
        <f>66.1137 * CHOOSE(CONTROL!$C$15, $D$11, 100%, $F$11)</f>
        <v>66.113699999999994</v>
      </c>
      <c r="J1040" s="4">
        <f>65.9684 * CHOOSE(CONTROL!$C$15, $D$11, 100%, $F$11)</f>
        <v>65.968400000000003</v>
      </c>
      <c r="K1040" s="4"/>
      <c r="L1040" s="9">
        <v>30.092199999999998</v>
      </c>
      <c r="M1040" s="9">
        <v>11.6745</v>
      </c>
      <c r="N1040" s="9">
        <v>4.7850000000000001</v>
      </c>
      <c r="O1040" s="9">
        <v>0.36199999999999999</v>
      </c>
      <c r="P1040" s="9">
        <v>1.1791</v>
      </c>
      <c r="Q1040" s="9">
        <v>19.053000000000001</v>
      </c>
      <c r="R1040" s="9"/>
      <c r="S1040" s="11"/>
    </row>
    <row r="1041" spans="1:19" ht="15.75">
      <c r="A1041" s="13">
        <v>73201</v>
      </c>
      <c r="B1041" s="8">
        <f>CHOOSE( CONTROL!$C$32, 70.5767, 70.5711) * CHOOSE(CONTROL!$C$15, $D$11, 100%, $F$11)</f>
        <v>70.576700000000002</v>
      </c>
      <c r="C1041" s="8">
        <f>CHOOSE( CONTROL!$C$32, 70.5848, 70.5792) * CHOOSE(CONTROL!$C$15, $D$11, 100%, $F$11)</f>
        <v>70.584800000000001</v>
      </c>
      <c r="D1041" s="8">
        <f>CHOOSE( CONTROL!$C$32, 70.6108, 70.6052) * CHOOSE( CONTROL!$C$15, $D$11, 100%, $F$11)</f>
        <v>70.610799999999998</v>
      </c>
      <c r="E1041" s="12">
        <f>CHOOSE( CONTROL!$C$32, 70.6001, 70.5945) * CHOOSE( CONTROL!$C$15, $D$11, 100%, $F$11)</f>
        <v>70.600099999999998</v>
      </c>
      <c r="F1041" s="4">
        <f>CHOOSE( CONTROL!$C$32, 71.2891, 71.2835) * CHOOSE(CONTROL!$C$15, $D$11, 100%, $F$11)</f>
        <v>71.289100000000005</v>
      </c>
      <c r="G1041" s="8">
        <f>CHOOSE( CONTROL!$C$32, 68.9182, 68.9128) * CHOOSE( CONTROL!$C$15, $D$11, 100%, $F$11)</f>
        <v>68.918199999999999</v>
      </c>
      <c r="H1041" s="4">
        <f>CHOOSE( CONTROL!$C$32, 69.8631, 69.8577) * CHOOSE(CONTROL!$C$15, $D$11, 100%, $F$11)</f>
        <v>69.863100000000003</v>
      </c>
      <c r="I1041" s="8">
        <f>CHOOSE( CONTROL!$C$32, 67.8776, 67.8723) * CHOOSE(CONTROL!$C$15, $D$11, 100%, $F$11)</f>
        <v>67.877600000000001</v>
      </c>
      <c r="J1041" s="4">
        <f>CHOOSE( CONTROL!$C$32, 67.7315, 67.7261) * CHOOSE(CONTROL!$C$15, $D$11, 100%, $F$11)</f>
        <v>67.731499999999997</v>
      </c>
      <c r="K1041" s="4"/>
      <c r="L1041" s="9">
        <v>30.7165</v>
      </c>
      <c r="M1041" s="9">
        <v>12.063700000000001</v>
      </c>
      <c r="N1041" s="9">
        <v>4.9444999999999997</v>
      </c>
      <c r="O1041" s="9">
        <v>0.37409999999999999</v>
      </c>
      <c r="P1041" s="9">
        <v>1.2183999999999999</v>
      </c>
      <c r="Q1041" s="9">
        <v>19.688099999999999</v>
      </c>
      <c r="R1041" s="9"/>
      <c r="S1041" s="11"/>
    </row>
    <row r="1042" spans="1:19" ht="15.75">
      <c r="A1042" s="13">
        <v>73231</v>
      </c>
      <c r="B1042" s="8">
        <f>CHOOSE( CONTROL!$C$32, 69.4426, 69.437) * CHOOSE(CONTROL!$C$15, $D$11, 100%, $F$11)</f>
        <v>69.442599999999999</v>
      </c>
      <c r="C1042" s="8">
        <f>CHOOSE( CONTROL!$C$32, 69.4507, 69.4451) * CHOOSE(CONTROL!$C$15, $D$11, 100%, $F$11)</f>
        <v>69.450699999999998</v>
      </c>
      <c r="D1042" s="8">
        <f>CHOOSE( CONTROL!$C$32, 69.4768, 69.4712) * CHOOSE( CONTROL!$C$15, $D$11, 100%, $F$11)</f>
        <v>69.476799999999997</v>
      </c>
      <c r="E1042" s="12">
        <f>CHOOSE( CONTROL!$C$32, 69.4661, 69.4605) * CHOOSE( CONTROL!$C$15, $D$11, 100%, $F$11)</f>
        <v>69.466099999999997</v>
      </c>
      <c r="F1042" s="4">
        <f>CHOOSE( CONTROL!$C$32, 70.155, 70.1494) * CHOOSE(CONTROL!$C$15, $D$11, 100%, $F$11)</f>
        <v>70.155000000000001</v>
      </c>
      <c r="G1042" s="8">
        <f>CHOOSE( CONTROL!$C$32, 67.8108, 67.8053) * CHOOSE( CONTROL!$C$15, $D$11, 100%, $F$11)</f>
        <v>67.8108</v>
      </c>
      <c r="H1042" s="4">
        <f>CHOOSE( CONTROL!$C$32, 68.7554, 68.75) * CHOOSE(CONTROL!$C$15, $D$11, 100%, $F$11)</f>
        <v>68.755399999999995</v>
      </c>
      <c r="I1042" s="8">
        <f>CHOOSE( CONTROL!$C$32, 66.789, 66.7837) * CHOOSE(CONTROL!$C$15, $D$11, 100%, $F$11)</f>
        <v>66.789000000000001</v>
      </c>
      <c r="J1042" s="4">
        <f>CHOOSE( CONTROL!$C$32, 66.6426, 66.6372) * CHOOSE(CONTROL!$C$15, $D$11, 100%, $F$11)</f>
        <v>66.642600000000002</v>
      </c>
      <c r="K1042" s="4"/>
      <c r="L1042" s="9">
        <v>29.7257</v>
      </c>
      <c r="M1042" s="9">
        <v>11.6745</v>
      </c>
      <c r="N1042" s="9">
        <v>4.7850000000000001</v>
      </c>
      <c r="O1042" s="9">
        <v>0.36199999999999999</v>
      </c>
      <c r="P1042" s="9">
        <v>1.1791</v>
      </c>
      <c r="Q1042" s="9">
        <v>19.053000000000001</v>
      </c>
      <c r="R1042" s="9"/>
      <c r="S1042" s="11"/>
    </row>
    <row r="1043" spans="1:19" ht="15.75">
      <c r="A1043" s="13">
        <v>73262</v>
      </c>
      <c r="B1043" s="8">
        <f>CHOOSE( CONTROL!$C$32, 72.4292, 72.4236) * CHOOSE(CONTROL!$C$15, $D$11, 100%, $F$11)</f>
        <v>72.429199999999994</v>
      </c>
      <c r="C1043" s="8">
        <f>CHOOSE( CONTROL!$C$32, 72.4372, 72.4317) * CHOOSE(CONTROL!$C$15, $D$11, 100%, $F$11)</f>
        <v>72.437200000000004</v>
      </c>
      <c r="D1043" s="8">
        <f>CHOOSE( CONTROL!$C$32, 72.4636, 72.458) * CHOOSE( CONTROL!$C$15, $D$11, 100%, $F$11)</f>
        <v>72.4636</v>
      </c>
      <c r="E1043" s="12">
        <f>CHOOSE( CONTROL!$C$32, 72.4528, 72.4472) * CHOOSE( CONTROL!$C$15, $D$11, 100%, $F$11)</f>
        <v>72.452799999999996</v>
      </c>
      <c r="F1043" s="4">
        <f>CHOOSE( CONTROL!$C$32, 73.1416, 73.136) * CHOOSE(CONTROL!$C$15, $D$11, 100%, $F$11)</f>
        <v>73.141599999999997</v>
      </c>
      <c r="G1043" s="8">
        <f>CHOOSE( CONTROL!$C$32, 70.7281, 70.7227) * CHOOSE( CONTROL!$C$15, $D$11, 100%, $F$11)</f>
        <v>70.728099999999998</v>
      </c>
      <c r="H1043" s="4">
        <f>CHOOSE( CONTROL!$C$32, 71.6724, 71.667) * CHOOSE(CONTROL!$C$15, $D$11, 100%, $F$11)</f>
        <v>71.672399999999996</v>
      </c>
      <c r="I1043" s="8">
        <f>CHOOSE( CONTROL!$C$32, 69.6588, 69.6535) * CHOOSE(CONTROL!$C$15, $D$11, 100%, $F$11)</f>
        <v>69.658799999999999</v>
      </c>
      <c r="J1043" s="4">
        <f>CHOOSE( CONTROL!$C$32, 69.51, 69.5047) * CHOOSE(CONTROL!$C$15, $D$11, 100%, $F$11)</f>
        <v>69.510000000000005</v>
      </c>
      <c r="K1043" s="4"/>
      <c r="L1043" s="9">
        <v>30.7165</v>
      </c>
      <c r="M1043" s="9">
        <v>12.063700000000001</v>
      </c>
      <c r="N1043" s="9">
        <v>4.9444999999999997</v>
      </c>
      <c r="O1043" s="9">
        <v>0.37409999999999999</v>
      </c>
      <c r="P1043" s="9">
        <v>1.2183999999999999</v>
      </c>
      <c r="Q1043" s="9">
        <v>19.688099999999999</v>
      </c>
      <c r="R1043" s="9"/>
      <c r="S1043" s="11"/>
    </row>
    <row r="1044" spans="1:19" ht="15.75">
      <c r="A1044" s="13">
        <v>73293</v>
      </c>
      <c r="B1044" s="8">
        <f>CHOOSE( CONTROL!$C$32, 66.8409, 66.8354) * CHOOSE(CONTROL!$C$15, $D$11, 100%, $F$11)</f>
        <v>66.840900000000005</v>
      </c>
      <c r="C1044" s="8">
        <f>CHOOSE( CONTROL!$C$32, 66.849, 66.8435) * CHOOSE(CONTROL!$C$15, $D$11, 100%, $F$11)</f>
        <v>66.849000000000004</v>
      </c>
      <c r="D1044" s="8">
        <f>CHOOSE( CONTROL!$C$32, 66.8754, 66.8699) * CHOOSE( CONTROL!$C$15, $D$11, 100%, $F$11)</f>
        <v>66.875399999999999</v>
      </c>
      <c r="E1044" s="12">
        <f>CHOOSE( CONTROL!$C$32, 66.8646, 66.8591) * CHOOSE( CONTROL!$C$15, $D$11, 100%, $F$11)</f>
        <v>66.864599999999996</v>
      </c>
      <c r="F1044" s="4">
        <f>CHOOSE( CONTROL!$C$32, 67.5533, 67.5478) * CHOOSE(CONTROL!$C$15, $D$11, 100%, $F$11)</f>
        <v>67.553299999999993</v>
      </c>
      <c r="G1044" s="8">
        <f>CHOOSE( CONTROL!$C$32, 65.2701, 65.2647) * CHOOSE( CONTROL!$C$15, $D$11, 100%, $F$11)</f>
        <v>65.270099999999999</v>
      </c>
      <c r="H1044" s="4">
        <f>CHOOSE( CONTROL!$C$32, 66.2144, 66.2089) * CHOOSE(CONTROL!$C$15, $D$11, 100%, $F$11)</f>
        <v>66.214399999999998</v>
      </c>
      <c r="I1044" s="8">
        <f>CHOOSE( CONTROL!$C$32, 64.2912, 64.2858) * CHOOSE(CONTROL!$C$15, $D$11, 100%, $F$11)</f>
        <v>64.291200000000003</v>
      </c>
      <c r="J1044" s="4">
        <f>CHOOSE( CONTROL!$C$32, 64.1448, 64.1394) * CHOOSE(CONTROL!$C$15, $D$11, 100%, $F$11)</f>
        <v>64.144800000000004</v>
      </c>
      <c r="K1044" s="4"/>
      <c r="L1044" s="9">
        <v>30.7165</v>
      </c>
      <c r="M1044" s="9">
        <v>12.063700000000001</v>
      </c>
      <c r="N1044" s="9">
        <v>4.9444999999999997</v>
      </c>
      <c r="O1044" s="9">
        <v>0.37409999999999999</v>
      </c>
      <c r="P1044" s="9">
        <v>1.2183999999999999</v>
      </c>
      <c r="Q1044" s="9">
        <v>19.688099999999999</v>
      </c>
      <c r="R1044" s="9"/>
      <c r="S1044" s="11"/>
    </row>
    <row r="1045" spans="1:19" ht="15.75">
      <c r="A1045" s="13">
        <v>73323</v>
      </c>
      <c r="B1045" s="8">
        <f>CHOOSE( CONTROL!$C$32, 65.4416, 65.436) * CHOOSE(CONTROL!$C$15, $D$11, 100%, $F$11)</f>
        <v>65.441599999999994</v>
      </c>
      <c r="C1045" s="8">
        <f>CHOOSE( CONTROL!$C$32, 65.4497, 65.4441) * CHOOSE(CONTROL!$C$15, $D$11, 100%, $F$11)</f>
        <v>65.449700000000007</v>
      </c>
      <c r="D1045" s="8">
        <f>CHOOSE( CONTROL!$C$32, 65.476, 65.4704) * CHOOSE( CONTROL!$C$15, $D$11, 100%, $F$11)</f>
        <v>65.475999999999999</v>
      </c>
      <c r="E1045" s="12">
        <f>CHOOSE( CONTROL!$C$32, 65.4652, 65.4596) * CHOOSE( CONTROL!$C$15, $D$11, 100%, $F$11)</f>
        <v>65.465199999999996</v>
      </c>
      <c r="F1045" s="4">
        <f>CHOOSE( CONTROL!$C$32, 66.154, 66.1484) * CHOOSE(CONTROL!$C$15, $D$11, 100%, $F$11)</f>
        <v>66.153999999999996</v>
      </c>
      <c r="G1045" s="8">
        <f>CHOOSE( CONTROL!$C$32, 63.9033, 63.8979) * CHOOSE( CONTROL!$C$15, $D$11, 100%, $F$11)</f>
        <v>63.903300000000002</v>
      </c>
      <c r="H1045" s="4">
        <f>CHOOSE( CONTROL!$C$32, 64.8476, 64.8422) * CHOOSE(CONTROL!$C$15, $D$11, 100%, $F$11)</f>
        <v>64.8476</v>
      </c>
      <c r="I1045" s="8">
        <f>CHOOSE( CONTROL!$C$32, 62.9467, 62.9414) * CHOOSE(CONTROL!$C$15, $D$11, 100%, $F$11)</f>
        <v>62.9467</v>
      </c>
      <c r="J1045" s="4">
        <f>CHOOSE( CONTROL!$C$32, 62.8012, 62.7959) * CHOOSE(CONTROL!$C$15, $D$11, 100%, $F$11)</f>
        <v>62.801200000000001</v>
      </c>
      <c r="K1045" s="4"/>
      <c r="L1045" s="9">
        <v>29.7257</v>
      </c>
      <c r="M1045" s="9">
        <v>11.6745</v>
      </c>
      <c r="N1045" s="9">
        <v>4.7850000000000001</v>
      </c>
      <c r="O1045" s="9">
        <v>0.36199999999999999</v>
      </c>
      <c r="P1045" s="9">
        <v>1.1791</v>
      </c>
      <c r="Q1045" s="9">
        <v>19.053000000000001</v>
      </c>
      <c r="R1045" s="9"/>
      <c r="S1045" s="11"/>
    </row>
    <row r="1046" spans="1:19" ht="15.75">
      <c r="A1046" s="13">
        <v>73354</v>
      </c>
      <c r="B1046" s="8">
        <f>68.3398 * CHOOSE(CONTROL!$C$15, $D$11, 100%, $F$11)</f>
        <v>68.339799999999997</v>
      </c>
      <c r="C1046" s="8">
        <f>68.3453 * CHOOSE(CONTROL!$C$15, $D$11, 100%, $F$11)</f>
        <v>68.345299999999995</v>
      </c>
      <c r="D1046" s="8">
        <f>68.3765 * CHOOSE( CONTROL!$C$15, $D$11, 100%, $F$11)</f>
        <v>68.376499999999993</v>
      </c>
      <c r="E1046" s="12">
        <f>68.3656 * CHOOSE( CONTROL!$C$15, $D$11, 100%, $F$11)</f>
        <v>68.365600000000001</v>
      </c>
      <c r="F1046" s="4">
        <f>69.0539 * CHOOSE(CONTROL!$C$15, $D$11, 100%, $F$11)</f>
        <v>69.053899999999999</v>
      </c>
      <c r="G1046" s="8">
        <f>66.7349 * CHOOSE( CONTROL!$C$15, $D$11, 100%, $F$11)</f>
        <v>66.734899999999996</v>
      </c>
      <c r="H1046" s="4">
        <f>67.68 * CHOOSE(CONTROL!$C$15, $D$11, 100%, $F$11)</f>
        <v>67.680000000000007</v>
      </c>
      <c r="I1046" s="8">
        <f>65.7333 * CHOOSE(CONTROL!$C$15, $D$11, 100%, $F$11)</f>
        <v>65.7333</v>
      </c>
      <c r="J1046" s="4">
        <f>65.5855 * CHOOSE(CONTROL!$C$15, $D$11, 100%, $F$11)</f>
        <v>65.585499999999996</v>
      </c>
      <c r="K1046" s="4"/>
      <c r="L1046" s="9">
        <v>31.095300000000002</v>
      </c>
      <c r="M1046" s="9">
        <v>12.063700000000001</v>
      </c>
      <c r="N1046" s="9">
        <v>4.9444999999999997</v>
      </c>
      <c r="O1046" s="9">
        <v>0.37409999999999999</v>
      </c>
      <c r="P1046" s="9">
        <v>1.2183999999999999</v>
      </c>
      <c r="Q1046" s="9">
        <v>19.688099999999999</v>
      </c>
      <c r="R1046" s="9"/>
      <c r="S1046" s="11"/>
    </row>
    <row r="1047" spans="1:19" ht="15.75">
      <c r="A1047" s="13">
        <v>73384</v>
      </c>
      <c r="B1047" s="8">
        <f>73.7025 * CHOOSE(CONTROL!$C$15, $D$11, 100%, $F$11)</f>
        <v>73.702500000000001</v>
      </c>
      <c r="C1047" s="8">
        <f>73.7077 * CHOOSE(CONTROL!$C$15, $D$11, 100%, $F$11)</f>
        <v>73.707700000000003</v>
      </c>
      <c r="D1047" s="8">
        <f>73.6939 * CHOOSE( CONTROL!$C$15, $D$11, 100%, $F$11)</f>
        <v>73.693899999999999</v>
      </c>
      <c r="E1047" s="12">
        <f>73.6984 * CHOOSE( CONTROL!$C$15, $D$11, 100%, $F$11)</f>
        <v>73.698400000000007</v>
      </c>
      <c r="F1047" s="4">
        <f>74.3529 * CHOOSE(CONTROL!$C$15, $D$11, 100%, $F$11)</f>
        <v>74.352900000000005</v>
      </c>
      <c r="G1047" s="8">
        <f>71.9806 * CHOOSE( CONTROL!$C$15, $D$11, 100%, $F$11)</f>
        <v>71.980599999999995</v>
      </c>
      <c r="H1047" s="4">
        <f>72.8556 * CHOOSE(CONTROL!$C$15, $D$11, 100%, $F$11)</f>
        <v>72.855599999999995</v>
      </c>
      <c r="I1047" s="8">
        <f>70.9285 * CHOOSE(CONTROL!$C$15, $D$11, 100%, $F$11)</f>
        <v>70.9285</v>
      </c>
      <c r="J1047" s="4">
        <f>70.7346 * CHOOSE(CONTROL!$C$15, $D$11, 100%, $F$11)</f>
        <v>70.7346</v>
      </c>
      <c r="K1047" s="4"/>
      <c r="L1047" s="9">
        <v>28.360600000000002</v>
      </c>
      <c r="M1047" s="9">
        <v>11.6745</v>
      </c>
      <c r="N1047" s="9">
        <v>4.7850000000000001</v>
      </c>
      <c r="O1047" s="9">
        <v>0.36199999999999999</v>
      </c>
      <c r="P1047" s="9">
        <v>1.2509999999999999</v>
      </c>
      <c r="Q1047" s="9">
        <v>19.053000000000001</v>
      </c>
      <c r="R1047" s="9"/>
      <c r="S1047" s="11"/>
    </row>
    <row r="1048" spans="1:19" ht="15.75">
      <c r="A1048" s="13">
        <v>73415</v>
      </c>
      <c r="B1048" s="8">
        <f>73.5685 * CHOOSE(CONTROL!$C$15, $D$11, 100%, $F$11)</f>
        <v>73.5685</v>
      </c>
      <c r="C1048" s="8">
        <f>73.5737 * CHOOSE(CONTROL!$C$15, $D$11, 100%, $F$11)</f>
        <v>73.573700000000002</v>
      </c>
      <c r="D1048" s="8">
        <f>73.5614 * CHOOSE( CONTROL!$C$15, $D$11, 100%, $F$11)</f>
        <v>73.561400000000006</v>
      </c>
      <c r="E1048" s="12">
        <f>73.5653 * CHOOSE( CONTROL!$C$15, $D$11, 100%, $F$11)</f>
        <v>73.565299999999993</v>
      </c>
      <c r="F1048" s="4">
        <f>74.2189 * CHOOSE(CONTROL!$C$15, $D$11, 100%, $F$11)</f>
        <v>74.218900000000005</v>
      </c>
      <c r="G1048" s="8">
        <f>71.8508 * CHOOSE( CONTROL!$C$15, $D$11, 100%, $F$11)</f>
        <v>71.850800000000007</v>
      </c>
      <c r="H1048" s="4">
        <f>72.7247 * CHOOSE(CONTROL!$C$15, $D$11, 100%, $F$11)</f>
        <v>72.724699999999999</v>
      </c>
      <c r="I1048" s="8">
        <f>70.8046 * CHOOSE(CONTROL!$C$15, $D$11, 100%, $F$11)</f>
        <v>70.804599999999994</v>
      </c>
      <c r="J1048" s="4">
        <f>70.6059 * CHOOSE(CONTROL!$C$15, $D$11, 100%, $F$11)</f>
        <v>70.605900000000005</v>
      </c>
      <c r="K1048" s="4"/>
      <c r="L1048" s="9">
        <v>29.306000000000001</v>
      </c>
      <c r="M1048" s="9">
        <v>12.063700000000001</v>
      </c>
      <c r="N1048" s="9">
        <v>4.9444999999999997</v>
      </c>
      <c r="O1048" s="9">
        <v>0.37409999999999999</v>
      </c>
      <c r="P1048" s="9">
        <v>1.2927</v>
      </c>
      <c r="Q1048" s="9">
        <v>19.688099999999999</v>
      </c>
      <c r="R1048" s="9"/>
      <c r="S1048" s="11"/>
    </row>
    <row r="1049" spans="1:19">
      <c r="A1049" s="10"/>
      <c r="F1049" s="1"/>
      <c r="H1049" s="1"/>
      <c r="Q1049" s="9"/>
    </row>
    <row r="1050" spans="1:19" ht="15" customHeight="1">
      <c r="A1050" s="3">
        <v>2015</v>
      </c>
      <c r="B1050" s="8">
        <f t="shared" ref="B1050:H1050" si="2">AVERAGE(B17:B28)</f>
        <v>2.982416666666666</v>
      </c>
      <c r="C1050" s="8">
        <f t="shared" si="2"/>
        <v>2.9887999999999999</v>
      </c>
      <c r="D1050" s="8">
        <f t="shared" si="2"/>
        <v>2.979741666666667</v>
      </c>
      <c r="E1050" s="8">
        <f t="shared" si="2"/>
        <v>2.9820499999999996</v>
      </c>
      <c r="F1050" s="4">
        <f t="shared" si="2"/>
        <v>3.6456833333333329</v>
      </c>
      <c r="G1050" s="8">
        <f t="shared" si="2"/>
        <v>2.8977166666666663</v>
      </c>
      <c r="H1050" s="4">
        <f t="shared" si="2"/>
        <v>3.7955000000000001</v>
      </c>
      <c r="I1050" s="8"/>
      <c r="J1050" s="4">
        <f>AVERAGE(J17:J28)</f>
        <v>2.835291666666667</v>
      </c>
      <c r="K1050" s="4">
        <f>AVERAGE(K17:K28)</f>
        <v>2.9019833333333338</v>
      </c>
      <c r="L1050" s="5">
        <f>SUM(L17:L28)</f>
        <v>369.27089999999998</v>
      </c>
      <c r="M1050" s="5">
        <f>SUM(M17:M28)</f>
        <v>142.0401</v>
      </c>
      <c r="N1050" s="5">
        <f>SUM(N17:N28)</f>
        <v>58.217499999999994</v>
      </c>
      <c r="O1050" s="5">
        <f>SUM(O17:O28)</f>
        <v>7.2496000000000018</v>
      </c>
      <c r="P1050" s="5">
        <f>SUM(P17:P28)</f>
        <v>14.046099999999997</v>
      </c>
      <c r="Q1050" s="5"/>
      <c r="R1050" s="5">
        <f>SUM(R17:R28)</f>
        <v>3.5999999999999992</v>
      </c>
      <c r="S1050" s="5">
        <f>SUM(S17:S28)</f>
        <v>12.811500000000002</v>
      </c>
    </row>
    <row r="1051" spans="1:19" ht="15" customHeight="1">
      <c r="A1051" s="3">
        <v>2016</v>
      </c>
      <c r="B1051" s="8">
        <f t="shared" ref="B1051:H1051" si="3">AVERAGE(B29:B40)</f>
        <v>3.2390750000000001</v>
      </c>
      <c r="C1051" s="8">
        <f t="shared" si="3"/>
        <v>3.2454583333333336</v>
      </c>
      <c r="D1051" s="8">
        <f t="shared" si="3"/>
        <v>3.2442250000000001</v>
      </c>
      <c r="E1051" s="8">
        <f t="shared" si="3"/>
        <v>3.2440333333333329</v>
      </c>
      <c r="F1051" s="4">
        <f t="shared" si="3"/>
        <v>3.9259333333333331</v>
      </c>
      <c r="G1051" s="8">
        <f t="shared" si="3"/>
        <v>3.1517499999999998</v>
      </c>
      <c r="H1051" s="4">
        <f t="shared" si="3"/>
        <v>4.0692416666666658</v>
      </c>
      <c r="I1051" s="8"/>
      <c r="J1051" s="4">
        <f>AVERAGE(J29:J40)</f>
        <v>3.0817083333333333</v>
      </c>
      <c r="K1051" s="5"/>
      <c r="L1051" s="5">
        <f>SUM(L29:L40)</f>
        <v>371.47629999999998</v>
      </c>
      <c r="M1051" s="5">
        <f>SUM(M29:M40)</f>
        <v>142.42920000000001</v>
      </c>
      <c r="N1051" s="5">
        <f>SUM(N29:N40)</f>
        <v>58.377000000000002</v>
      </c>
      <c r="O1051" s="5">
        <f>SUM(O29:O40)</f>
        <v>5.3597999999999999</v>
      </c>
      <c r="P1051" s="5">
        <f>SUM(P29:P40)</f>
        <v>17.840799999999998</v>
      </c>
      <c r="Q1051" s="5"/>
      <c r="R1051" s="5">
        <f>SUM(R29:R40)</f>
        <v>4.8</v>
      </c>
      <c r="S1051" s="5"/>
    </row>
    <row r="1052" spans="1:19" ht="15" customHeight="1">
      <c r="A1052" s="3">
        <v>2017</v>
      </c>
      <c r="B1052" s="8">
        <f t="shared" ref="B1052:J1052" si="4">AVERAGE(B41:B52)</f>
        <v>3.4066916666666667</v>
      </c>
      <c r="C1052" s="8">
        <f t="shared" si="4"/>
        <v>3.4130666666666669</v>
      </c>
      <c r="D1052" s="8">
        <f t="shared" si="4"/>
        <v>3.4102749999999991</v>
      </c>
      <c r="E1052" s="8">
        <f t="shared" si="4"/>
        <v>3.4105166666666666</v>
      </c>
      <c r="F1052" s="4">
        <f t="shared" si="4"/>
        <v>4.0935499999999996</v>
      </c>
      <c r="G1052" s="8">
        <f t="shared" si="4"/>
        <v>3.315058333333333</v>
      </c>
      <c r="H1052" s="4">
        <f t="shared" si="4"/>
        <v>4.232941666666667</v>
      </c>
      <c r="I1052" s="8">
        <f t="shared" si="4"/>
        <v>3.3680083333333335</v>
      </c>
      <c r="J1052" s="4">
        <f t="shared" si="4"/>
        <v>3.2426250000000003</v>
      </c>
      <c r="K1052" s="4"/>
      <c r="L1052" s="5">
        <f t="shared" ref="L1052:Q1052" si="5">SUM(L41:L52)</f>
        <v>355.53689999999995</v>
      </c>
      <c r="M1052" s="5">
        <f t="shared" si="5"/>
        <v>142.0401</v>
      </c>
      <c r="N1052" s="5">
        <f t="shared" si="5"/>
        <v>58.217499999999994</v>
      </c>
      <c r="O1052" s="5">
        <f t="shared" si="5"/>
        <v>4.4046000000000003</v>
      </c>
      <c r="P1052" s="5">
        <f t="shared" si="5"/>
        <v>20.805900000000001</v>
      </c>
      <c r="Q1052" s="5">
        <f t="shared" si="5"/>
        <v>198.18529999999998</v>
      </c>
      <c r="R1052" s="5"/>
      <c r="S1052" s="4"/>
    </row>
    <row r="1053" spans="1:19" ht="15" customHeight="1">
      <c r="A1053" s="3">
        <v>2018</v>
      </c>
      <c r="B1053" s="8">
        <f t="shared" ref="B1053:J1053" si="6">AVERAGE(B53:B64)</f>
        <v>3.9639333333333333</v>
      </c>
      <c r="C1053" s="8">
        <f t="shared" si="6"/>
        <v>3.9703083333333336</v>
      </c>
      <c r="D1053" s="8">
        <f t="shared" si="6"/>
        <v>3.9798250000000004</v>
      </c>
      <c r="E1053" s="8">
        <f t="shared" si="6"/>
        <v>3.975716666666667</v>
      </c>
      <c r="F1053" s="4">
        <f t="shared" si="6"/>
        <v>4.6507833333333322</v>
      </c>
      <c r="G1053" s="8">
        <f t="shared" si="6"/>
        <v>3.859316666666667</v>
      </c>
      <c r="H1053" s="4">
        <f t="shared" si="6"/>
        <v>4.7772083333333333</v>
      </c>
      <c r="I1053" s="8">
        <f t="shared" si="6"/>
        <v>3.9032916666666666</v>
      </c>
      <c r="J1053" s="4">
        <f t="shared" si="6"/>
        <v>3.7776583333333331</v>
      </c>
      <c r="K1053" s="4"/>
      <c r="L1053" s="5">
        <f t="shared" ref="L1053:Q1053" si="7">SUM(L53:L64)</f>
        <v>355.53689999999995</v>
      </c>
      <c r="M1053" s="5">
        <f t="shared" si="7"/>
        <v>142.0401</v>
      </c>
      <c r="N1053" s="5">
        <f t="shared" si="7"/>
        <v>58.217499999999994</v>
      </c>
      <c r="O1053" s="5">
        <f t="shared" si="7"/>
        <v>4.4046000000000003</v>
      </c>
      <c r="P1053" s="5">
        <f t="shared" si="7"/>
        <v>14.707600000000001</v>
      </c>
      <c r="Q1053" s="5">
        <f t="shared" si="7"/>
        <v>293.19730000000004</v>
      </c>
      <c r="R1053" s="5"/>
      <c r="S1053" s="4"/>
    </row>
    <row r="1054" spans="1:19" ht="15" customHeight="1">
      <c r="A1054" s="3">
        <v>2019</v>
      </c>
      <c r="B1054" s="8">
        <f t="shared" ref="B1054:J1054" si="8">AVERAGE(B65:B76)</f>
        <v>4.1754583333333342</v>
      </c>
      <c r="C1054" s="8">
        <f t="shared" si="8"/>
        <v>4.1818333333333335</v>
      </c>
      <c r="D1054" s="8">
        <f t="shared" si="8"/>
        <v>4.1913583333333335</v>
      </c>
      <c r="E1054" s="8">
        <f t="shared" si="8"/>
        <v>4.1872583333333333</v>
      </c>
      <c r="F1054" s="4">
        <f t="shared" si="8"/>
        <v>4.8623250000000002</v>
      </c>
      <c r="G1054" s="8">
        <f t="shared" si="8"/>
        <v>4.0659166666666673</v>
      </c>
      <c r="H1054" s="4">
        <f t="shared" si="8"/>
        <v>4.9838083333333332</v>
      </c>
      <c r="I1054" s="8">
        <f t="shared" si="8"/>
        <v>4.106491666666666</v>
      </c>
      <c r="J1054" s="4">
        <f t="shared" si="8"/>
        <v>3.98075</v>
      </c>
      <c r="K1054" s="4"/>
      <c r="L1054" s="5">
        <f t="shared" ref="L1054:Q1054" si="9">SUM(L65:L76)</f>
        <v>355.53689999999995</v>
      </c>
      <c r="M1054" s="5">
        <f t="shared" si="9"/>
        <v>142.0401</v>
      </c>
      <c r="N1054" s="5">
        <f t="shared" si="9"/>
        <v>58.217499999999994</v>
      </c>
      <c r="O1054" s="5">
        <f t="shared" si="9"/>
        <v>4.4046000000000003</v>
      </c>
      <c r="P1054" s="5">
        <f t="shared" si="9"/>
        <v>14.707600000000001</v>
      </c>
      <c r="Q1054" s="5">
        <f t="shared" si="9"/>
        <v>290.24799999999999</v>
      </c>
      <c r="R1054" s="5"/>
      <c r="S1054" s="4"/>
    </row>
    <row r="1055" spans="1:19" ht="15" customHeight="1">
      <c r="A1055" s="3">
        <v>2020</v>
      </c>
      <c r="B1055" s="8">
        <f t="shared" ref="B1055:J1055" si="10">AVERAGE(B77:B88)</f>
        <v>5.2391750000000004</v>
      </c>
      <c r="C1055" s="8">
        <f t="shared" si="10"/>
        <v>5.2455499999999997</v>
      </c>
      <c r="D1055" s="8">
        <f t="shared" si="10"/>
        <v>5.255066666666667</v>
      </c>
      <c r="E1055" s="8">
        <f t="shared" si="10"/>
        <v>5.2509666666666668</v>
      </c>
      <c r="F1055" s="4">
        <f t="shared" si="10"/>
        <v>5.9260333333333319</v>
      </c>
      <c r="G1055" s="8">
        <f t="shared" si="10"/>
        <v>5.1048416666666663</v>
      </c>
      <c r="H1055" s="4">
        <f t="shared" si="10"/>
        <v>6.0227333333333339</v>
      </c>
      <c r="I1055" s="8">
        <f t="shared" si="10"/>
        <v>5.1282500000000004</v>
      </c>
      <c r="J1055" s="4">
        <f t="shared" si="10"/>
        <v>5.0019999999999998</v>
      </c>
      <c r="K1055" s="4"/>
      <c r="L1055" s="5">
        <f t="shared" ref="L1055:Q1055" si="11">SUM(L77:L88)</f>
        <v>356.48229999999995</v>
      </c>
      <c r="M1055" s="5">
        <f t="shared" si="11"/>
        <v>142.42920000000001</v>
      </c>
      <c r="N1055" s="5">
        <f t="shared" si="11"/>
        <v>58.377000000000002</v>
      </c>
      <c r="O1055" s="5">
        <f t="shared" si="11"/>
        <v>4.4165999999999999</v>
      </c>
      <c r="P1055" s="5">
        <f t="shared" si="11"/>
        <v>14.7493</v>
      </c>
      <c r="Q1055" s="5">
        <f t="shared" si="11"/>
        <v>349.04309999999998</v>
      </c>
      <c r="R1055" s="5"/>
      <c r="S1055" s="4"/>
    </row>
    <row r="1056" spans="1:19" ht="15" customHeight="1">
      <c r="A1056" s="3">
        <v>2021</v>
      </c>
      <c r="B1056" s="8">
        <f t="shared" ref="B1056:J1056" si="12">AVERAGE(B89:B100)</f>
        <v>5.6483916666666678</v>
      </c>
      <c r="C1056" s="8">
        <f t="shared" si="12"/>
        <v>5.6547583333333336</v>
      </c>
      <c r="D1056" s="8">
        <f t="shared" si="12"/>
        <v>5.6642583333333336</v>
      </c>
      <c r="E1056" s="8">
        <f t="shared" si="12"/>
        <v>5.6601583333333325</v>
      </c>
      <c r="F1056" s="4">
        <f t="shared" si="12"/>
        <v>6.3352333333333339</v>
      </c>
      <c r="G1056" s="8">
        <f t="shared" si="12"/>
        <v>5.5045166666666665</v>
      </c>
      <c r="H1056" s="4">
        <f t="shared" si="12"/>
        <v>6.4223999999999997</v>
      </c>
      <c r="I1056" s="8">
        <f t="shared" si="12"/>
        <v>5.521325</v>
      </c>
      <c r="J1056" s="4">
        <f t="shared" si="12"/>
        <v>5.3948749999999999</v>
      </c>
      <c r="K1056" s="4"/>
      <c r="L1056" s="5">
        <f t="shared" ref="L1056:Q1056" si="13">SUM(L89:L100)</f>
        <v>355.53689999999995</v>
      </c>
      <c r="M1056" s="5">
        <f t="shared" si="13"/>
        <v>142.0401</v>
      </c>
      <c r="N1056" s="5">
        <f t="shared" si="13"/>
        <v>58.217499999999994</v>
      </c>
      <c r="O1056" s="5">
        <f t="shared" si="13"/>
        <v>4.4046000000000003</v>
      </c>
      <c r="P1056" s="5">
        <f t="shared" si="13"/>
        <v>14.707600000000001</v>
      </c>
      <c r="Q1056" s="5">
        <f t="shared" si="13"/>
        <v>388.68129999999996</v>
      </c>
      <c r="R1056" s="5"/>
      <c r="S1056" s="4"/>
    </row>
    <row r="1057" spans="1:19" ht="15" customHeight="1">
      <c r="A1057" s="3">
        <v>2022</v>
      </c>
      <c r="B1057" s="8">
        <f t="shared" ref="B1057:J1057" si="14">AVERAGE(B101:B112)</f>
        <v>5.9535749999999998</v>
      </c>
      <c r="C1057" s="8">
        <f t="shared" si="14"/>
        <v>5.9599166666666674</v>
      </c>
      <c r="D1057" s="8">
        <f t="shared" si="14"/>
        <v>5.9694416666666648</v>
      </c>
      <c r="E1057" s="8">
        <f t="shared" si="14"/>
        <v>5.9653416666666663</v>
      </c>
      <c r="F1057" s="4">
        <f t="shared" si="14"/>
        <v>6.640416666666666</v>
      </c>
      <c r="G1057" s="8">
        <f t="shared" si="14"/>
        <v>5.8025833333333336</v>
      </c>
      <c r="H1057" s="4">
        <f t="shared" si="14"/>
        <v>6.7204666666666668</v>
      </c>
      <c r="I1057" s="8">
        <f t="shared" si="14"/>
        <v>5.8144833333333343</v>
      </c>
      <c r="J1057" s="4">
        <f t="shared" si="14"/>
        <v>5.6878916666666663</v>
      </c>
      <c r="K1057" s="4"/>
      <c r="L1057" s="5">
        <f t="shared" ref="L1057:Q1057" si="15">SUM(L101:L112)</f>
        <v>355.53689999999995</v>
      </c>
      <c r="M1057" s="5">
        <f t="shared" si="15"/>
        <v>142.0401</v>
      </c>
      <c r="N1057" s="5">
        <f t="shared" si="15"/>
        <v>58.217499999999994</v>
      </c>
      <c r="O1057" s="5">
        <f t="shared" si="15"/>
        <v>4.4046000000000003</v>
      </c>
      <c r="P1057" s="5">
        <f t="shared" si="15"/>
        <v>14.707600000000001</v>
      </c>
      <c r="Q1057" s="5">
        <f t="shared" si="15"/>
        <v>386.33820000000003</v>
      </c>
      <c r="R1057" s="5"/>
      <c r="S1057" s="4"/>
    </row>
    <row r="1058" spans="1:19" ht="15" customHeight="1">
      <c r="A1058" s="3">
        <v>2023</v>
      </c>
      <c r="B1058" s="8">
        <f t="shared" ref="B1058:J1058" si="16">AVERAGE(B113:B124)</f>
        <v>6.2005249999999998</v>
      </c>
      <c r="C1058" s="8">
        <f t="shared" si="16"/>
        <v>6.2068750000000001</v>
      </c>
      <c r="D1058" s="8">
        <f t="shared" si="16"/>
        <v>6.2163916666666665</v>
      </c>
      <c r="E1058" s="8">
        <f t="shared" si="16"/>
        <v>6.2122916666666663</v>
      </c>
      <c r="F1058" s="4">
        <f t="shared" si="16"/>
        <v>6.8873749999999996</v>
      </c>
      <c r="G1058" s="8">
        <f t="shared" si="16"/>
        <v>6.0437916666666665</v>
      </c>
      <c r="H1058" s="4">
        <f t="shared" si="16"/>
        <v>6.961666666666666</v>
      </c>
      <c r="I1058" s="8">
        <f t="shared" si="16"/>
        <v>6.0516916666666667</v>
      </c>
      <c r="J1058" s="4">
        <f t="shared" si="16"/>
        <v>5.9249833333333335</v>
      </c>
      <c r="K1058" s="4"/>
      <c r="L1058" s="5">
        <f t="shared" ref="L1058:Q1058" si="17">SUM(L113:L124)</f>
        <v>355.53689999999995</v>
      </c>
      <c r="M1058" s="5">
        <f t="shared" si="17"/>
        <v>142.0401</v>
      </c>
      <c r="N1058" s="5">
        <f t="shared" si="17"/>
        <v>58.217499999999994</v>
      </c>
      <c r="O1058" s="5">
        <f t="shared" si="17"/>
        <v>4.4046000000000003</v>
      </c>
      <c r="P1058" s="5">
        <f t="shared" si="17"/>
        <v>14.707600000000001</v>
      </c>
      <c r="Q1058" s="5">
        <f t="shared" si="17"/>
        <v>384.12599999999998</v>
      </c>
      <c r="R1058" s="5"/>
      <c r="S1058" s="4"/>
    </row>
    <row r="1059" spans="1:19" ht="15" customHeight="1">
      <c r="A1059" s="3">
        <v>2024</v>
      </c>
      <c r="B1059" s="8">
        <f t="shared" ref="B1059:J1059" si="18">AVERAGE(B125:B136)</f>
        <v>6.3894333333333337</v>
      </c>
      <c r="C1059" s="8">
        <f t="shared" si="18"/>
        <v>6.3958166666666658</v>
      </c>
      <c r="D1059" s="8">
        <f t="shared" si="18"/>
        <v>6.4053166666666668</v>
      </c>
      <c r="E1059" s="8">
        <f t="shared" si="18"/>
        <v>6.4012083333333329</v>
      </c>
      <c r="F1059" s="4">
        <f t="shared" si="18"/>
        <v>7.0762999999999998</v>
      </c>
      <c r="G1059" s="8">
        <f t="shared" si="18"/>
        <v>6.2283166666666672</v>
      </c>
      <c r="H1059" s="4">
        <f t="shared" si="18"/>
        <v>7.1461833333333331</v>
      </c>
      <c r="I1059" s="8">
        <f t="shared" si="18"/>
        <v>6.2331750000000001</v>
      </c>
      <c r="J1059" s="4">
        <f t="shared" si="18"/>
        <v>6.1063749999999999</v>
      </c>
      <c r="K1059" s="4"/>
      <c r="L1059" s="5">
        <f t="shared" ref="L1059:Q1059" si="19">SUM(L125:L136)</f>
        <v>356.48229999999995</v>
      </c>
      <c r="M1059" s="5">
        <f t="shared" si="19"/>
        <v>142.42920000000001</v>
      </c>
      <c r="N1059" s="5">
        <f t="shared" si="19"/>
        <v>58.377000000000002</v>
      </c>
      <c r="O1059" s="5">
        <f t="shared" si="19"/>
        <v>4.4165999999999999</v>
      </c>
      <c r="P1059" s="5">
        <f t="shared" si="19"/>
        <v>14.7493</v>
      </c>
      <c r="Q1059" s="5">
        <f t="shared" si="19"/>
        <v>383.00459999999998</v>
      </c>
      <c r="R1059" s="5"/>
      <c r="S1059" s="4"/>
    </row>
    <row r="1060" spans="1:19" ht="15" customHeight="1">
      <c r="A1060" s="3">
        <v>2025</v>
      </c>
      <c r="B1060" s="8">
        <f t="shared" ref="B1060:J1060" si="20">AVERAGE(B137:B148)</f>
        <v>6.5834583333333327</v>
      </c>
      <c r="C1060" s="8">
        <f t="shared" si="20"/>
        <v>6.5898083333333339</v>
      </c>
      <c r="D1060" s="8">
        <f t="shared" si="20"/>
        <v>6.5993500000000012</v>
      </c>
      <c r="E1060" s="8">
        <f t="shared" si="20"/>
        <v>6.5952416666666691</v>
      </c>
      <c r="F1060" s="4">
        <f t="shared" si="20"/>
        <v>7.2702916666666662</v>
      </c>
      <c r="G1060" s="8">
        <f t="shared" si="20"/>
        <v>6.4178083333333333</v>
      </c>
      <c r="H1060" s="4">
        <f t="shared" si="20"/>
        <v>7.335683333333332</v>
      </c>
      <c r="I1060" s="8">
        <f t="shared" si="20"/>
        <v>6.4195333333333329</v>
      </c>
      <c r="J1060" s="4">
        <f t="shared" si="20"/>
        <v>6.292650000000001</v>
      </c>
      <c r="K1060" s="4"/>
      <c r="L1060" s="5">
        <f t="shared" ref="L1060:Q1060" si="21">SUM(L137:L148)</f>
        <v>355.53689999999995</v>
      </c>
      <c r="M1060" s="5">
        <f t="shared" si="21"/>
        <v>142.0401</v>
      </c>
      <c r="N1060" s="5">
        <f t="shared" si="21"/>
        <v>58.217499999999994</v>
      </c>
      <c r="O1060" s="5">
        <f t="shared" si="21"/>
        <v>4.4046000000000003</v>
      </c>
      <c r="P1060" s="5">
        <f t="shared" si="21"/>
        <v>14.707600000000001</v>
      </c>
      <c r="Q1060" s="5">
        <f t="shared" si="21"/>
        <v>379.76819999999998</v>
      </c>
      <c r="R1060" s="5"/>
      <c r="S1060" s="4"/>
    </row>
    <row r="1061" spans="1:19" ht="15" customHeight="1">
      <c r="A1061" s="3">
        <v>2026</v>
      </c>
      <c r="B1061" s="8">
        <f t="shared" ref="B1061:J1061" si="22">AVERAGE(B149:B160)</f>
        <v>6.7826833333333338</v>
      </c>
      <c r="C1061" s="8">
        <f t="shared" si="22"/>
        <v>6.7890500000000022</v>
      </c>
      <c r="D1061" s="8">
        <f t="shared" si="22"/>
        <v>6.798566666666666</v>
      </c>
      <c r="E1061" s="8">
        <f t="shared" si="22"/>
        <v>6.7944583333333322</v>
      </c>
      <c r="F1061" s="4">
        <f t="shared" si="22"/>
        <v>7.4695166666666672</v>
      </c>
      <c r="G1061" s="8">
        <f t="shared" si="22"/>
        <v>6.6123916666666673</v>
      </c>
      <c r="H1061" s="4">
        <f t="shared" si="22"/>
        <v>7.5302833333333332</v>
      </c>
      <c r="I1061" s="8">
        <f t="shared" si="22"/>
        <v>6.6109166666666672</v>
      </c>
      <c r="J1061" s="4">
        <f t="shared" si="22"/>
        <v>6.4839166666666666</v>
      </c>
      <c r="K1061" s="4"/>
      <c r="L1061" s="5">
        <f t="shared" ref="L1061:Q1061" si="23">SUM(L149:L160)</f>
        <v>355.53689999999995</v>
      </c>
      <c r="M1061" s="5">
        <f t="shared" si="23"/>
        <v>142.0401</v>
      </c>
      <c r="N1061" s="5">
        <f t="shared" si="23"/>
        <v>58.217499999999994</v>
      </c>
      <c r="O1061" s="5">
        <f t="shared" si="23"/>
        <v>4.4046000000000003</v>
      </c>
      <c r="P1061" s="5">
        <f t="shared" si="23"/>
        <v>14.707600000000001</v>
      </c>
      <c r="Q1061" s="5">
        <f t="shared" si="23"/>
        <v>377.59969999999987</v>
      </c>
      <c r="R1061" s="5"/>
      <c r="S1061" s="4"/>
    </row>
    <row r="1062" spans="1:19" ht="15" customHeight="1">
      <c r="A1062" s="3">
        <v>2027</v>
      </c>
      <c r="B1062" s="8">
        <f t="shared" ref="B1062:J1062" si="24">AVERAGE(B161:B172)</f>
        <v>6.9872500000000022</v>
      </c>
      <c r="C1062" s="8">
        <f t="shared" si="24"/>
        <v>6.9936333333333343</v>
      </c>
      <c r="D1062" s="8">
        <f t="shared" si="24"/>
        <v>7.0031499999999989</v>
      </c>
      <c r="E1062" s="8">
        <f t="shared" si="24"/>
        <v>6.9990416666666668</v>
      </c>
      <c r="F1062" s="4">
        <f t="shared" si="24"/>
        <v>7.6741083333333338</v>
      </c>
      <c r="G1062" s="8">
        <f t="shared" si="24"/>
        <v>6.8122000000000007</v>
      </c>
      <c r="H1062" s="4">
        <f t="shared" si="24"/>
        <v>7.7300750000000003</v>
      </c>
      <c r="I1062" s="8">
        <f t="shared" si="24"/>
        <v>6.807433333333333</v>
      </c>
      <c r="J1062" s="4">
        <f t="shared" si="24"/>
        <v>6.6803416666666662</v>
      </c>
      <c r="K1062" s="4"/>
      <c r="L1062" s="5">
        <f t="shared" ref="L1062:Q1062" si="25">SUM(L161:L172)</f>
        <v>355.53689999999995</v>
      </c>
      <c r="M1062" s="5">
        <f t="shared" si="25"/>
        <v>142.0401</v>
      </c>
      <c r="N1062" s="5">
        <f t="shared" si="25"/>
        <v>58.217499999999994</v>
      </c>
      <c r="O1062" s="5">
        <f t="shared" si="25"/>
        <v>4.4046000000000003</v>
      </c>
      <c r="P1062" s="5">
        <f t="shared" si="25"/>
        <v>14.707600000000001</v>
      </c>
      <c r="Q1062" s="5">
        <f t="shared" si="25"/>
        <v>375.43180000000001</v>
      </c>
      <c r="R1062" s="5"/>
      <c r="S1062" s="4"/>
    </row>
    <row r="1063" spans="1:19" ht="15" customHeight="1">
      <c r="A1063" s="3">
        <v>2028</v>
      </c>
      <c r="B1063" s="8">
        <f t="shared" ref="B1063:J1063" si="26">AVERAGE(B173:B184)</f>
        <v>7.1972916666666675</v>
      </c>
      <c r="C1063" s="8">
        <f t="shared" si="26"/>
        <v>7.2036833333333341</v>
      </c>
      <c r="D1063" s="8">
        <f t="shared" si="26"/>
        <v>7.2132249999999987</v>
      </c>
      <c r="E1063" s="8">
        <f t="shared" si="26"/>
        <v>7.209108333333333</v>
      </c>
      <c r="F1063" s="4">
        <f t="shared" si="26"/>
        <v>7.8841666666666663</v>
      </c>
      <c r="G1063" s="8">
        <f t="shared" si="26"/>
        <v>7.017366666666665</v>
      </c>
      <c r="H1063" s="4">
        <f t="shared" si="26"/>
        <v>7.9352499999999999</v>
      </c>
      <c r="I1063" s="8">
        <f t="shared" si="26"/>
        <v>7.009199999999999</v>
      </c>
      <c r="J1063" s="4">
        <f t="shared" si="26"/>
        <v>6.8820166666666651</v>
      </c>
      <c r="K1063" s="4"/>
      <c r="L1063" s="5">
        <f t="shared" ref="L1063:Q1063" si="27">SUM(L173:L184)</f>
        <v>356.48229999999995</v>
      </c>
      <c r="M1063" s="5">
        <f t="shared" si="27"/>
        <v>142.42920000000001</v>
      </c>
      <c r="N1063" s="5">
        <f t="shared" si="27"/>
        <v>58.377000000000002</v>
      </c>
      <c r="O1063" s="5">
        <f t="shared" si="27"/>
        <v>4.4165999999999999</v>
      </c>
      <c r="P1063" s="5">
        <f t="shared" si="27"/>
        <v>14.7493</v>
      </c>
      <c r="Q1063" s="5">
        <f t="shared" si="27"/>
        <v>374.28599999999994</v>
      </c>
      <c r="R1063" s="5"/>
      <c r="S1063" s="4"/>
    </row>
    <row r="1064" spans="1:19" ht="15" customHeight="1">
      <c r="A1064" s="3">
        <v>2029</v>
      </c>
      <c r="B1064" s="8">
        <f t="shared" ref="B1064:J1064" si="28">AVERAGE(B185:B196)</f>
        <v>7.413008333333333</v>
      </c>
      <c r="C1064" s="8">
        <f t="shared" si="28"/>
        <v>7.419366666666666</v>
      </c>
      <c r="D1064" s="8">
        <f t="shared" si="28"/>
        <v>7.4288833333333315</v>
      </c>
      <c r="E1064" s="8">
        <f t="shared" si="28"/>
        <v>7.424783333333334</v>
      </c>
      <c r="F1064" s="4">
        <f t="shared" si="28"/>
        <v>8.0998500000000018</v>
      </c>
      <c r="G1064" s="8">
        <f t="shared" si="28"/>
        <v>7.2280249999999997</v>
      </c>
      <c r="H1064" s="4">
        <f t="shared" si="28"/>
        <v>8.1458999999999993</v>
      </c>
      <c r="I1064" s="8">
        <f t="shared" si="28"/>
        <v>7.2163916666666665</v>
      </c>
      <c r="J1064" s="4">
        <f t="shared" si="28"/>
        <v>7.0891000000000011</v>
      </c>
      <c r="K1064" s="4"/>
      <c r="L1064" s="5">
        <f t="shared" ref="L1064:Q1064" si="29">SUM(L185:L196)</f>
        <v>355.53689999999995</v>
      </c>
      <c r="M1064" s="5">
        <f t="shared" si="29"/>
        <v>142.0401</v>
      </c>
      <c r="N1064" s="5">
        <f t="shared" si="29"/>
        <v>58.217499999999994</v>
      </c>
      <c r="O1064" s="5">
        <f t="shared" si="29"/>
        <v>4.4046000000000003</v>
      </c>
      <c r="P1064" s="5">
        <f t="shared" si="29"/>
        <v>14.707600000000001</v>
      </c>
      <c r="Q1064" s="5">
        <f t="shared" si="29"/>
        <v>371.09549999999996</v>
      </c>
      <c r="R1064" s="5"/>
      <c r="S1064" s="4"/>
    </row>
    <row r="1065" spans="1:19" ht="15" customHeight="1">
      <c r="A1065" s="3">
        <v>2030</v>
      </c>
      <c r="B1065" s="8">
        <f t="shared" ref="B1065:J1065" si="30">AVERAGE(B197:B208)</f>
        <v>7.6344416666666675</v>
      </c>
      <c r="C1065" s="8">
        <f t="shared" si="30"/>
        <v>7.6408250000000004</v>
      </c>
      <c r="D1065" s="8">
        <f t="shared" si="30"/>
        <v>7.6503416666666668</v>
      </c>
      <c r="E1065" s="8">
        <f t="shared" si="30"/>
        <v>7.6462333333333339</v>
      </c>
      <c r="F1065" s="4">
        <f t="shared" si="30"/>
        <v>8.3212833333333336</v>
      </c>
      <c r="G1065" s="8">
        <f t="shared" si="30"/>
        <v>7.4442999999999993</v>
      </c>
      <c r="H1065" s="4">
        <f t="shared" si="30"/>
        <v>8.3621916666666678</v>
      </c>
      <c r="I1065" s="8">
        <f t="shared" si="30"/>
        <v>7.4291000000000009</v>
      </c>
      <c r="J1065" s="4">
        <f t="shared" si="30"/>
        <v>7.3016833333333331</v>
      </c>
      <c r="K1065" s="4"/>
      <c r="L1065" s="5">
        <f t="shared" ref="L1065:Q1065" si="31">SUM(L197:L208)</f>
        <v>355.53689999999995</v>
      </c>
      <c r="M1065" s="5">
        <f t="shared" si="31"/>
        <v>142.0401</v>
      </c>
      <c r="N1065" s="5">
        <f t="shared" si="31"/>
        <v>58.217499999999994</v>
      </c>
      <c r="O1065" s="5">
        <f t="shared" si="31"/>
        <v>4.4046000000000003</v>
      </c>
      <c r="P1065" s="5">
        <f t="shared" si="31"/>
        <v>14.707600000000001</v>
      </c>
      <c r="Q1065" s="5">
        <f t="shared" si="31"/>
        <v>368.9276999999999</v>
      </c>
      <c r="R1065" s="5"/>
      <c r="S1065" s="4"/>
    </row>
    <row r="1066" spans="1:19" ht="15" customHeight="1">
      <c r="A1066" s="3">
        <v>2031</v>
      </c>
      <c r="B1066" s="8">
        <f t="shared" ref="B1066:J1066" si="32">AVERAGE(B209:B220)</f>
        <v>7.8617833333333325</v>
      </c>
      <c r="C1066" s="8">
        <f t="shared" si="32"/>
        <v>7.8681416666666664</v>
      </c>
      <c r="D1066" s="8">
        <f t="shared" si="32"/>
        <v>7.8776750000000009</v>
      </c>
      <c r="E1066" s="8">
        <f t="shared" si="32"/>
        <v>7.8735749999999998</v>
      </c>
      <c r="F1066" s="4">
        <f t="shared" si="32"/>
        <v>8.5486166666666659</v>
      </c>
      <c r="G1066" s="8">
        <f t="shared" si="32"/>
        <v>7.6663583333333341</v>
      </c>
      <c r="H1066" s="4">
        <f t="shared" si="32"/>
        <v>8.584249999999999</v>
      </c>
      <c r="I1066" s="8">
        <f t="shared" si="32"/>
        <v>7.647475</v>
      </c>
      <c r="J1066" s="4">
        <f t="shared" si="32"/>
        <v>7.5199750000000014</v>
      </c>
      <c r="K1066" s="4"/>
      <c r="L1066" s="5">
        <f t="shared" ref="L1066:Q1066" si="33">SUM(L209:L220)</f>
        <v>355.53689999999995</v>
      </c>
      <c r="M1066" s="5">
        <f t="shared" si="33"/>
        <v>142.0401</v>
      </c>
      <c r="N1066" s="5">
        <f t="shared" si="33"/>
        <v>58.217499999999994</v>
      </c>
      <c r="O1066" s="5">
        <f t="shared" si="33"/>
        <v>4.4046000000000003</v>
      </c>
      <c r="P1066" s="5">
        <f t="shared" si="33"/>
        <v>14.707600000000001</v>
      </c>
      <c r="Q1066" s="5">
        <f t="shared" si="33"/>
        <v>365.31420000000003</v>
      </c>
      <c r="R1066" s="5"/>
      <c r="S1066" s="4"/>
    </row>
    <row r="1067" spans="1:19" ht="15" customHeight="1">
      <c r="A1067" s="3">
        <v>2032</v>
      </c>
      <c r="B1067" s="8">
        <f t="shared" ref="B1067:J1067" si="34">AVERAGE(B221:B232)</f>
        <v>8.095183333333333</v>
      </c>
      <c r="C1067" s="8">
        <f t="shared" si="34"/>
        <v>8.101566666666665</v>
      </c>
      <c r="D1067" s="8">
        <f t="shared" si="34"/>
        <v>8.1110666666666678</v>
      </c>
      <c r="E1067" s="8">
        <f t="shared" si="34"/>
        <v>8.1069666666666667</v>
      </c>
      <c r="F1067" s="4">
        <f t="shared" si="34"/>
        <v>8.7820333333333345</v>
      </c>
      <c r="G1067" s="8">
        <f t="shared" si="34"/>
        <v>7.8942999999999985</v>
      </c>
      <c r="H1067" s="4">
        <f t="shared" si="34"/>
        <v>8.8121999999999989</v>
      </c>
      <c r="I1067" s="8">
        <f t="shared" si="34"/>
        <v>7.8716750000000006</v>
      </c>
      <c r="J1067" s="4">
        <f t="shared" si="34"/>
        <v>7.7440666666666678</v>
      </c>
      <c r="K1067" s="4"/>
      <c r="L1067" s="5">
        <f t="shared" ref="L1067:Q1067" si="35">SUM(L221:L232)</f>
        <v>356.48229999999995</v>
      </c>
      <c r="M1067" s="5">
        <f t="shared" si="35"/>
        <v>142.42920000000001</v>
      </c>
      <c r="N1067" s="5">
        <f t="shared" si="35"/>
        <v>58.377000000000002</v>
      </c>
      <c r="O1067" s="5">
        <f t="shared" si="35"/>
        <v>4.4165999999999999</v>
      </c>
      <c r="P1067" s="5">
        <f t="shared" si="35"/>
        <v>14.7493</v>
      </c>
      <c r="Q1067" s="5">
        <f t="shared" si="35"/>
        <v>364.46999999999997</v>
      </c>
      <c r="R1067" s="5"/>
      <c r="S1067" s="4"/>
    </row>
    <row r="1068" spans="1:19" ht="15" customHeight="1">
      <c r="A1068" s="3">
        <v>2033</v>
      </c>
      <c r="B1068" s="8">
        <f t="shared" ref="B1068:J1068" si="36">AVERAGE(B233:B244)</f>
        <v>8.3347833333333323</v>
      </c>
      <c r="C1068" s="8">
        <f t="shared" si="36"/>
        <v>8.3411416666666671</v>
      </c>
      <c r="D1068" s="8">
        <f t="shared" si="36"/>
        <v>8.3506833333333343</v>
      </c>
      <c r="E1068" s="8">
        <f t="shared" si="36"/>
        <v>8.346583333333335</v>
      </c>
      <c r="F1068" s="4">
        <f t="shared" si="36"/>
        <v>9.0216416666666657</v>
      </c>
      <c r="G1068" s="8">
        <f t="shared" si="36"/>
        <v>8.1283416666666675</v>
      </c>
      <c r="H1068" s="4">
        <f t="shared" si="36"/>
        <v>9.0462249999999997</v>
      </c>
      <c r="I1068" s="8">
        <f t="shared" si="36"/>
        <v>8.1018416666666671</v>
      </c>
      <c r="J1068" s="4">
        <f t="shared" si="36"/>
        <v>7.9741</v>
      </c>
      <c r="K1068" s="4"/>
      <c r="L1068" s="5">
        <f t="shared" ref="L1068:Q1068" si="37">SUM(L233:L244)</f>
        <v>355.53689999999995</v>
      </c>
      <c r="M1068" s="5">
        <f t="shared" si="37"/>
        <v>142.0401</v>
      </c>
      <c r="N1068" s="5">
        <f t="shared" si="37"/>
        <v>58.217499999999994</v>
      </c>
      <c r="O1068" s="5">
        <f t="shared" si="37"/>
        <v>4.4046000000000003</v>
      </c>
      <c r="P1068" s="5">
        <f t="shared" si="37"/>
        <v>14.707600000000001</v>
      </c>
      <c r="Q1068" s="5">
        <f t="shared" si="37"/>
        <v>362.33550000000002</v>
      </c>
      <c r="R1068" s="5"/>
      <c r="S1068" s="4"/>
    </row>
    <row r="1069" spans="1:19" ht="15" customHeight="1">
      <c r="A1069" s="3">
        <v>2034</v>
      </c>
      <c r="B1069" s="8">
        <f t="shared" ref="B1069:J1069" si="38">AVERAGE(B245:B256)</f>
        <v>8.5008333333333326</v>
      </c>
      <c r="C1069" s="8">
        <f t="shared" si="38"/>
        <v>8.5072166666666664</v>
      </c>
      <c r="D1069" s="8">
        <f t="shared" si="38"/>
        <v>8.5167416666666664</v>
      </c>
      <c r="E1069" s="8">
        <f t="shared" si="38"/>
        <v>8.5126249999999999</v>
      </c>
      <c r="F1069" s="4">
        <f t="shared" si="38"/>
        <v>9.1877000000000013</v>
      </c>
      <c r="G1069" s="8">
        <f t="shared" si="38"/>
        <v>8.290541666666666</v>
      </c>
      <c r="H1069" s="4">
        <f t="shared" si="38"/>
        <v>9.2084166666666665</v>
      </c>
      <c r="I1069" s="8">
        <f t="shared" si="38"/>
        <v>8.2613583333333338</v>
      </c>
      <c r="J1069" s="4">
        <f t="shared" si="38"/>
        <v>8.1335249999999988</v>
      </c>
      <c r="K1069" s="4"/>
      <c r="L1069" s="5">
        <f t="shared" ref="L1069:Q1069" si="39">SUM(L245:L256)</f>
        <v>355.53689999999995</v>
      </c>
      <c r="M1069" s="5">
        <f t="shared" si="39"/>
        <v>142.0401</v>
      </c>
      <c r="N1069" s="5">
        <f t="shared" si="39"/>
        <v>58.217499999999994</v>
      </c>
      <c r="O1069" s="5">
        <f t="shared" si="39"/>
        <v>4.4046000000000003</v>
      </c>
      <c r="P1069" s="5">
        <f t="shared" si="39"/>
        <v>14.707600000000001</v>
      </c>
      <c r="Q1069" s="5">
        <f t="shared" si="39"/>
        <v>361.59120000000007</v>
      </c>
      <c r="R1069" s="5"/>
      <c r="S1069" s="4"/>
    </row>
    <row r="1070" spans="1:19" ht="15" customHeight="1">
      <c r="A1070" s="3">
        <v>2035</v>
      </c>
      <c r="B1070" s="8">
        <f t="shared" ref="B1070:J1070" si="40">AVERAGE(B257:B268)</f>
        <v>8.6702250000000003</v>
      </c>
      <c r="C1070" s="8">
        <f t="shared" si="40"/>
        <v>8.6765999999999988</v>
      </c>
      <c r="D1070" s="8">
        <f t="shared" si="40"/>
        <v>8.6861166666666669</v>
      </c>
      <c r="E1070" s="8">
        <f t="shared" si="40"/>
        <v>8.6820083333333322</v>
      </c>
      <c r="F1070" s="4">
        <f t="shared" si="40"/>
        <v>9.3570666666666664</v>
      </c>
      <c r="G1070" s="8">
        <f t="shared" si="40"/>
        <v>8.4559750000000005</v>
      </c>
      <c r="H1070" s="4">
        <f t="shared" si="40"/>
        <v>9.3738666666666663</v>
      </c>
      <c r="I1070" s="8">
        <f t="shared" si="40"/>
        <v>8.4240416666666658</v>
      </c>
      <c r="J1070" s="4">
        <f t="shared" si="40"/>
        <v>8.2961583333333344</v>
      </c>
      <c r="K1070" s="4"/>
      <c r="L1070" s="5">
        <f t="shared" ref="L1070:Q1070" si="41">SUM(L257:L268)</f>
        <v>355.53689999999995</v>
      </c>
      <c r="M1070" s="5">
        <f t="shared" si="41"/>
        <v>142.0401</v>
      </c>
      <c r="N1070" s="5">
        <f t="shared" si="41"/>
        <v>58.217499999999994</v>
      </c>
      <c r="O1070" s="5">
        <f t="shared" si="41"/>
        <v>4.4046000000000003</v>
      </c>
      <c r="P1070" s="5">
        <f t="shared" si="41"/>
        <v>14.707600000000001</v>
      </c>
      <c r="Q1070" s="5">
        <f t="shared" si="41"/>
        <v>360.82469999999995</v>
      </c>
      <c r="R1070" s="5"/>
      <c r="S1070" s="4"/>
    </row>
    <row r="1071" spans="1:19" ht="15" customHeight="1">
      <c r="A1071" s="3">
        <v>2036</v>
      </c>
      <c r="B1071" s="8">
        <f t="shared" ref="B1071:J1071" si="42">AVERAGE(B269:B280)</f>
        <v>8.9527333333333345</v>
      </c>
      <c r="C1071" s="8">
        <f t="shared" si="42"/>
        <v>8.9591249999999985</v>
      </c>
      <c r="D1071" s="8">
        <f t="shared" si="42"/>
        <v>8.968650000000002</v>
      </c>
      <c r="E1071" s="8">
        <f t="shared" si="42"/>
        <v>8.9645416666666673</v>
      </c>
      <c r="F1071" s="4">
        <f t="shared" si="42"/>
        <v>9.6395999999999997</v>
      </c>
      <c r="G1071" s="8">
        <f t="shared" si="42"/>
        <v>8.7318916666666677</v>
      </c>
      <c r="H1071" s="4">
        <f t="shared" si="42"/>
        <v>9.6497916666666672</v>
      </c>
      <c r="I1071" s="8">
        <f t="shared" si="42"/>
        <v>8.6954333333333338</v>
      </c>
      <c r="J1071" s="4">
        <f t="shared" si="42"/>
        <v>8.5674083333333346</v>
      </c>
      <c r="K1071" s="4"/>
      <c r="L1071" s="5">
        <f t="shared" ref="L1071:Q1071" si="43">SUM(L269:L280)</f>
        <v>356.48229999999995</v>
      </c>
      <c r="M1071" s="5">
        <f t="shared" si="43"/>
        <v>142.42920000000001</v>
      </c>
      <c r="N1071" s="5">
        <f t="shared" si="43"/>
        <v>58.377000000000002</v>
      </c>
      <c r="O1071" s="5">
        <f t="shared" si="43"/>
        <v>4.4165999999999999</v>
      </c>
      <c r="P1071" s="5">
        <f t="shared" si="43"/>
        <v>14.7493</v>
      </c>
      <c r="Q1071" s="5">
        <f t="shared" si="43"/>
        <v>361.0446</v>
      </c>
      <c r="R1071" s="5"/>
      <c r="S1071" s="4"/>
    </row>
    <row r="1072" spans="1:19" ht="15" customHeight="1">
      <c r="A1072" s="3">
        <v>2037</v>
      </c>
      <c r="B1072" s="8">
        <f t="shared" ref="B1072:J1072" si="44">AVERAGE(B281:B292)</f>
        <v>9.2445000000000004</v>
      </c>
      <c r="C1072" s="8">
        <f t="shared" si="44"/>
        <v>9.250866666666667</v>
      </c>
      <c r="D1072" s="8">
        <f t="shared" si="44"/>
        <v>9.2603833333333352</v>
      </c>
      <c r="E1072" s="8">
        <f t="shared" si="44"/>
        <v>9.2562833333333341</v>
      </c>
      <c r="F1072" s="4">
        <f t="shared" si="44"/>
        <v>9.9313416666666665</v>
      </c>
      <c r="G1072" s="8">
        <f t="shared" si="44"/>
        <v>9.0168750000000006</v>
      </c>
      <c r="H1072" s="4">
        <f t="shared" si="44"/>
        <v>9.9347416666666657</v>
      </c>
      <c r="I1072" s="8">
        <f t="shared" si="44"/>
        <v>8.9756750000000007</v>
      </c>
      <c r="J1072" s="4">
        <f t="shared" si="44"/>
        <v>8.8475166666666656</v>
      </c>
      <c r="K1072" s="4"/>
      <c r="L1072" s="5">
        <f t="shared" ref="L1072:Q1072" si="45">SUM(L281:L292)</f>
        <v>355.53689999999995</v>
      </c>
      <c r="M1072" s="5">
        <f t="shared" si="45"/>
        <v>142.0401</v>
      </c>
      <c r="N1072" s="5">
        <f t="shared" si="45"/>
        <v>58.217499999999994</v>
      </c>
      <c r="O1072" s="5">
        <f t="shared" si="45"/>
        <v>4.4046000000000003</v>
      </c>
      <c r="P1072" s="5">
        <f t="shared" si="45"/>
        <v>14.707600000000001</v>
      </c>
      <c r="Q1072" s="5">
        <f t="shared" si="45"/>
        <v>359.29169999999999</v>
      </c>
      <c r="R1072" s="5"/>
      <c r="S1072" s="4"/>
    </row>
    <row r="1073" spans="1:19" ht="15" customHeight="1">
      <c r="A1073" s="3">
        <f t="shared" ref="A1073:A1104" si="46">A1072+1</f>
        <v>2038</v>
      </c>
      <c r="B1073" s="8">
        <f t="shared" ref="B1073:J1073" si="47">AVERAGE(B293:B304)</f>
        <v>9.5458083333333335</v>
      </c>
      <c r="C1073" s="8">
        <f t="shared" si="47"/>
        <v>9.5521666666666665</v>
      </c>
      <c r="D1073" s="8">
        <f t="shared" si="47"/>
        <v>9.5616833333333346</v>
      </c>
      <c r="E1073" s="8">
        <f t="shared" si="47"/>
        <v>9.5575833333333318</v>
      </c>
      <c r="F1073" s="4">
        <f t="shared" si="47"/>
        <v>10.232641666666666</v>
      </c>
      <c r="G1073" s="8">
        <f t="shared" si="47"/>
        <v>9.3111583333333332</v>
      </c>
      <c r="H1073" s="4">
        <f t="shared" si="47"/>
        <v>10.229016666666668</v>
      </c>
      <c r="I1073" s="8">
        <f t="shared" si="47"/>
        <v>9.2651083333333322</v>
      </c>
      <c r="J1073" s="4">
        <f t="shared" si="47"/>
        <v>9.1367916666666691</v>
      </c>
      <c r="K1073" s="4"/>
      <c r="L1073" s="5">
        <f t="shared" ref="L1073:Q1073" si="48">SUM(L293:L304)</f>
        <v>355.53689999999995</v>
      </c>
      <c r="M1073" s="5">
        <f t="shared" si="48"/>
        <v>142.0401</v>
      </c>
      <c r="N1073" s="5">
        <f t="shared" si="48"/>
        <v>58.217499999999994</v>
      </c>
      <c r="O1073" s="5">
        <f t="shared" si="48"/>
        <v>4.4046000000000003</v>
      </c>
      <c r="P1073" s="5">
        <f t="shared" si="48"/>
        <v>14.707600000000001</v>
      </c>
      <c r="Q1073" s="5">
        <f t="shared" si="48"/>
        <v>358.54670000000004</v>
      </c>
      <c r="R1073" s="5"/>
      <c r="S1073" s="4"/>
    </row>
    <row r="1074" spans="1:19" ht="15" customHeight="1">
      <c r="A1074" s="3">
        <f t="shared" si="46"/>
        <v>2039</v>
      </c>
      <c r="B1074" s="8">
        <f t="shared" ref="B1074:J1074" si="49">AVERAGE(B305:B316)</f>
        <v>9.8569333333333322</v>
      </c>
      <c r="C1074" s="8">
        <f t="shared" si="49"/>
        <v>9.8632999999999988</v>
      </c>
      <c r="D1074" s="8">
        <f t="shared" si="49"/>
        <v>9.8728249999999989</v>
      </c>
      <c r="E1074" s="8">
        <f t="shared" si="49"/>
        <v>9.8687250000000013</v>
      </c>
      <c r="F1074" s="4">
        <f t="shared" si="49"/>
        <v>10.543783333333336</v>
      </c>
      <c r="G1074" s="8">
        <f t="shared" si="49"/>
        <v>9.6150416666666665</v>
      </c>
      <c r="H1074" s="4">
        <f t="shared" si="49"/>
        <v>10.532916666666667</v>
      </c>
      <c r="I1074" s="8">
        <f t="shared" si="49"/>
        <v>9.5640000000000018</v>
      </c>
      <c r="J1074" s="4">
        <f t="shared" si="49"/>
        <v>9.4355333333333338</v>
      </c>
      <c r="K1074" s="7"/>
      <c r="L1074" s="5">
        <f t="shared" ref="L1074:Q1074" si="50">SUM(L305:L316)</f>
        <v>355.53689999999995</v>
      </c>
      <c r="M1074" s="5">
        <f t="shared" si="50"/>
        <v>142.0401</v>
      </c>
      <c r="N1074" s="5">
        <f t="shared" si="50"/>
        <v>58.217499999999994</v>
      </c>
      <c r="O1074" s="5">
        <f t="shared" si="50"/>
        <v>4.4046000000000003</v>
      </c>
      <c r="P1074" s="5">
        <f t="shared" si="50"/>
        <v>14.707600000000001</v>
      </c>
      <c r="Q1074" s="5">
        <f t="shared" si="50"/>
        <v>357.78019999999998</v>
      </c>
      <c r="R1074" s="5"/>
      <c r="S1074" s="6"/>
    </row>
    <row r="1075" spans="1:19" ht="15" customHeight="1">
      <c r="A1075" s="3">
        <f t="shared" si="46"/>
        <v>2040</v>
      </c>
      <c r="B1075" s="8">
        <f t="shared" ref="B1075:J1075" si="51">AVERAGE(B317:B328)</f>
        <v>10.178266666666666</v>
      </c>
      <c r="C1075" s="8">
        <f t="shared" si="51"/>
        <v>10.184633333333332</v>
      </c>
      <c r="D1075" s="8">
        <f t="shared" si="51"/>
        <v>10.194166666666668</v>
      </c>
      <c r="E1075" s="8">
        <f t="shared" si="51"/>
        <v>10.190058333333335</v>
      </c>
      <c r="F1075" s="4">
        <f t="shared" si="51"/>
        <v>10.865116666666667</v>
      </c>
      <c r="G1075" s="8">
        <f t="shared" si="51"/>
        <v>9.9288666666666643</v>
      </c>
      <c r="H1075" s="4">
        <f t="shared" si="51"/>
        <v>10.846766666666667</v>
      </c>
      <c r="I1075" s="8">
        <f t="shared" si="51"/>
        <v>9.8726416666666665</v>
      </c>
      <c r="J1075" s="4">
        <f t="shared" si="51"/>
        <v>9.7440249999999988</v>
      </c>
      <c r="K1075" s="7"/>
      <c r="L1075" s="5">
        <f t="shared" ref="L1075:Q1075" si="52">SUM(L317:L328)</f>
        <v>356.48229999999995</v>
      </c>
      <c r="M1075" s="5">
        <f t="shared" si="52"/>
        <v>142.42920000000001</v>
      </c>
      <c r="N1075" s="5">
        <f t="shared" si="52"/>
        <v>58.377000000000002</v>
      </c>
      <c r="O1075" s="5">
        <f t="shared" si="52"/>
        <v>4.4165999999999999</v>
      </c>
      <c r="P1075" s="5">
        <f t="shared" si="52"/>
        <v>14.7493</v>
      </c>
      <c r="Q1075" s="5">
        <f t="shared" si="52"/>
        <v>357.99180000000001</v>
      </c>
      <c r="R1075" s="5"/>
      <c r="S1075" s="6"/>
    </row>
    <row r="1076" spans="1:19" ht="15" customHeight="1">
      <c r="A1076" s="3">
        <f t="shared" si="46"/>
        <v>2041</v>
      </c>
      <c r="B1076" s="8">
        <f t="shared" ref="B1076:J1076" si="53">AVERAGE(B329:B340)</f>
        <v>10.510100000000001</v>
      </c>
      <c r="C1076" s="8">
        <f t="shared" si="53"/>
        <v>10.516466666666666</v>
      </c>
      <c r="D1076" s="8">
        <f t="shared" si="53"/>
        <v>10.525983333333334</v>
      </c>
      <c r="E1076" s="8">
        <f t="shared" si="53"/>
        <v>10.521875</v>
      </c>
      <c r="F1076" s="4">
        <f t="shared" si="53"/>
        <v>11.196941666666667</v>
      </c>
      <c r="G1076" s="8">
        <f t="shared" si="53"/>
        <v>10.252983333333335</v>
      </c>
      <c r="H1076" s="4">
        <f t="shared" si="53"/>
        <v>11.170866666666667</v>
      </c>
      <c r="I1076" s="8">
        <f t="shared" si="53"/>
        <v>10.1914</v>
      </c>
      <c r="J1076" s="4">
        <f t="shared" si="53"/>
        <v>10.062624999999999</v>
      </c>
      <c r="K1076" s="7"/>
      <c r="L1076" s="5">
        <f t="shared" ref="L1076:Q1076" si="54">SUM(L329:L340)</f>
        <v>355.53689999999995</v>
      </c>
      <c r="M1076" s="5">
        <f t="shared" si="54"/>
        <v>142.0401</v>
      </c>
      <c r="N1076" s="5">
        <f t="shared" si="54"/>
        <v>58.217499999999994</v>
      </c>
      <c r="O1076" s="5">
        <f t="shared" si="54"/>
        <v>4.4046000000000003</v>
      </c>
      <c r="P1076" s="5">
        <f t="shared" si="54"/>
        <v>14.707600000000001</v>
      </c>
      <c r="Q1076" s="5">
        <f t="shared" si="54"/>
        <v>356.26930000000004</v>
      </c>
      <c r="R1076" s="5"/>
      <c r="S1076" s="6"/>
    </row>
    <row r="1077" spans="1:19" ht="15" customHeight="1">
      <c r="A1077" s="3">
        <f t="shared" si="46"/>
        <v>2042</v>
      </c>
      <c r="B1077" s="8">
        <f t="shared" ref="B1077:J1077" si="55">AVERAGE(B341:B352)</f>
        <v>10.852791666666667</v>
      </c>
      <c r="C1077" s="8">
        <f t="shared" si="55"/>
        <v>10.859158333333331</v>
      </c>
      <c r="D1077" s="8">
        <f t="shared" si="55"/>
        <v>10.868666666666668</v>
      </c>
      <c r="E1077" s="8">
        <f t="shared" si="55"/>
        <v>10.864558333333333</v>
      </c>
      <c r="F1077" s="4">
        <f t="shared" si="55"/>
        <v>11.539633333333333</v>
      </c>
      <c r="G1077" s="8">
        <f t="shared" si="55"/>
        <v>10.587683333333334</v>
      </c>
      <c r="H1077" s="4">
        <f t="shared" si="55"/>
        <v>11.505583333333334</v>
      </c>
      <c r="I1077" s="8">
        <f t="shared" si="55"/>
        <v>10.520583333333335</v>
      </c>
      <c r="J1077" s="4">
        <f t="shared" si="55"/>
        <v>10.391641666666667</v>
      </c>
      <c r="K1077" s="7"/>
      <c r="L1077" s="5">
        <f t="shared" ref="L1077:Q1077" si="56">SUM(L341:L352)</f>
        <v>355.53689999999995</v>
      </c>
      <c r="M1077" s="5">
        <f t="shared" si="56"/>
        <v>142.0401</v>
      </c>
      <c r="N1077" s="5">
        <f t="shared" si="56"/>
        <v>58.217499999999994</v>
      </c>
      <c r="O1077" s="5">
        <f t="shared" si="56"/>
        <v>4.4046000000000003</v>
      </c>
      <c r="P1077" s="5">
        <f t="shared" si="56"/>
        <v>14.707600000000001</v>
      </c>
      <c r="Q1077" s="5">
        <f t="shared" si="56"/>
        <v>242.47669999999997</v>
      </c>
      <c r="R1077" s="5"/>
      <c r="S1077" s="6"/>
    </row>
    <row r="1078" spans="1:19" ht="15" customHeight="1">
      <c r="A1078" s="3">
        <f t="shared" si="46"/>
        <v>2043</v>
      </c>
      <c r="B1078" s="8">
        <f t="shared" ref="B1078:J1078" si="57">AVERAGE(B353:B364)</f>
        <v>11.206691666666666</v>
      </c>
      <c r="C1078" s="8">
        <f t="shared" si="57"/>
        <v>11.213058333333334</v>
      </c>
      <c r="D1078" s="8">
        <f t="shared" si="57"/>
        <v>11.222566666666665</v>
      </c>
      <c r="E1078" s="8">
        <f t="shared" si="57"/>
        <v>11.218466666666666</v>
      </c>
      <c r="F1078" s="4">
        <f t="shared" si="57"/>
        <v>11.89353333333333</v>
      </c>
      <c r="G1078" s="8">
        <f t="shared" si="57"/>
        <v>10.933333333333335</v>
      </c>
      <c r="H1078" s="4">
        <f t="shared" si="57"/>
        <v>11.851216666666666</v>
      </c>
      <c r="I1078" s="8">
        <f t="shared" si="57"/>
        <v>10.860525000000001</v>
      </c>
      <c r="J1078" s="4">
        <f t="shared" si="57"/>
        <v>10.731391666666667</v>
      </c>
      <c r="K1078" s="7"/>
      <c r="L1078" s="5">
        <f t="shared" ref="L1078:Q1078" si="58">SUM(L353:L364)</f>
        <v>355.53689999999995</v>
      </c>
      <c r="M1078" s="5">
        <f t="shared" si="58"/>
        <v>142.0401</v>
      </c>
      <c r="N1078" s="5">
        <f t="shared" si="58"/>
        <v>58.217499999999994</v>
      </c>
      <c r="O1078" s="5">
        <f t="shared" si="58"/>
        <v>4.4046000000000003</v>
      </c>
      <c r="P1078" s="5">
        <f t="shared" si="58"/>
        <v>14.707600000000001</v>
      </c>
      <c r="Q1078" s="5">
        <f t="shared" si="58"/>
        <v>241.71019999999996</v>
      </c>
      <c r="R1078" s="5"/>
      <c r="S1078" s="6"/>
    </row>
    <row r="1079" spans="1:19" ht="15" customHeight="1">
      <c r="A1079" s="3">
        <f t="shared" si="46"/>
        <v>2044</v>
      </c>
      <c r="B1079" s="8">
        <f t="shared" ref="B1079:J1079" si="59">AVERAGE(B365:B376)</f>
        <v>11.572133333333333</v>
      </c>
      <c r="C1079" s="8">
        <f t="shared" si="59"/>
        <v>11.5785</v>
      </c>
      <c r="D1079" s="8">
        <f t="shared" si="59"/>
        <v>11.588033333333334</v>
      </c>
      <c r="E1079" s="8">
        <f t="shared" si="59"/>
        <v>11.583933333333334</v>
      </c>
      <c r="F1079" s="4">
        <f t="shared" si="59"/>
        <v>12.258991666666669</v>
      </c>
      <c r="G1079" s="8">
        <f t="shared" si="59"/>
        <v>11.290275000000001</v>
      </c>
      <c r="H1079" s="4">
        <f t="shared" si="59"/>
        <v>12.208166666666669</v>
      </c>
      <c r="I1079" s="8">
        <f t="shared" si="59"/>
        <v>11.211574999999998</v>
      </c>
      <c r="J1079" s="4">
        <f t="shared" si="59"/>
        <v>11.082283333333331</v>
      </c>
      <c r="K1079" s="7"/>
      <c r="L1079" s="5">
        <f t="shared" ref="L1079:Q1079" si="60">SUM(L365:L376)</f>
        <v>356.48229999999995</v>
      </c>
      <c r="M1079" s="5">
        <f t="shared" si="60"/>
        <v>142.42920000000001</v>
      </c>
      <c r="N1079" s="5">
        <f t="shared" si="60"/>
        <v>58.377000000000002</v>
      </c>
      <c r="O1079" s="5">
        <f t="shared" si="60"/>
        <v>4.4165999999999999</v>
      </c>
      <c r="P1079" s="5">
        <f t="shared" si="60"/>
        <v>14.7493</v>
      </c>
      <c r="Q1079" s="5">
        <f t="shared" si="60"/>
        <v>241.58220000000006</v>
      </c>
      <c r="R1079" s="5"/>
      <c r="S1079" s="6"/>
    </row>
    <row r="1080" spans="1:19" ht="15" customHeight="1">
      <c r="A1080" s="3">
        <f t="shared" si="46"/>
        <v>2045</v>
      </c>
      <c r="B1080" s="8">
        <f t="shared" ref="B1080:J1080" si="61">AVERAGE(B377:B388)</f>
        <v>11.949574999999998</v>
      </c>
      <c r="C1080" s="8">
        <f t="shared" si="61"/>
        <v>11.955924999999999</v>
      </c>
      <c r="D1080" s="8">
        <f t="shared" si="61"/>
        <v>11.965458333333332</v>
      </c>
      <c r="E1080" s="8">
        <f t="shared" si="61"/>
        <v>11.961350000000001</v>
      </c>
      <c r="F1080" s="4">
        <f t="shared" si="61"/>
        <v>12.6364</v>
      </c>
      <c r="G1080" s="8">
        <f t="shared" si="61"/>
        <v>11.658916666666665</v>
      </c>
      <c r="H1080" s="4">
        <f t="shared" si="61"/>
        <v>12.576783333333333</v>
      </c>
      <c r="I1080" s="8">
        <f t="shared" si="61"/>
        <v>11.574125</v>
      </c>
      <c r="J1080" s="4">
        <f t="shared" si="61"/>
        <v>11.444649999999998</v>
      </c>
      <c r="K1080" s="7"/>
      <c r="L1080" s="5">
        <f t="shared" ref="L1080:Q1080" si="62">SUM(L377:L388)</f>
        <v>355.53689999999995</v>
      </c>
      <c r="M1080" s="5">
        <f t="shared" si="62"/>
        <v>142.0401</v>
      </c>
      <c r="N1080" s="5">
        <f t="shared" si="62"/>
        <v>58.217499999999994</v>
      </c>
      <c r="O1080" s="5">
        <f t="shared" si="62"/>
        <v>4.4046000000000003</v>
      </c>
      <c r="P1080" s="5">
        <f t="shared" si="62"/>
        <v>14.707600000000001</v>
      </c>
      <c r="Q1080" s="5">
        <f t="shared" si="62"/>
        <v>240.15570000000002</v>
      </c>
      <c r="R1080" s="5"/>
      <c r="S1080" s="6"/>
    </row>
    <row r="1081" spans="1:19" ht="15" customHeight="1">
      <c r="A1081" s="3">
        <f t="shared" si="46"/>
        <v>2046</v>
      </c>
      <c r="B1081" s="8">
        <f t="shared" ref="B1081:J1081" si="63">AVERAGE(B389:B400)</f>
        <v>12.339324999999997</v>
      </c>
      <c r="C1081" s="8">
        <f t="shared" si="63"/>
        <v>12.345691666666665</v>
      </c>
      <c r="D1081" s="8">
        <f t="shared" si="63"/>
        <v>12.355216666666665</v>
      </c>
      <c r="E1081" s="8">
        <f t="shared" si="63"/>
        <v>12.351108333333331</v>
      </c>
      <c r="F1081" s="4">
        <f t="shared" si="63"/>
        <v>13.026183333333334</v>
      </c>
      <c r="G1081" s="8">
        <f t="shared" si="63"/>
        <v>12.039583333333335</v>
      </c>
      <c r="H1081" s="4">
        <f t="shared" si="63"/>
        <v>12.957475000000001</v>
      </c>
      <c r="I1081" s="8">
        <f t="shared" si="63"/>
        <v>11.948524999999998</v>
      </c>
      <c r="J1081" s="4">
        <f t="shared" si="63"/>
        <v>11.818866666666665</v>
      </c>
      <c r="K1081" s="7"/>
      <c r="L1081" s="5">
        <f t="shared" ref="L1081:Q1081" si="64">SUM(L389:L400)</f>
        <v>355.53689999999995</v>
      </c>
      <c r="M1081" s="5">
        <f t="shared" si="64"/>
        <v>142.0401</v>
      </c>
      <c r="N1081" s="5">
        <f t="shared" si="64"/>
        <v>58.217499999999994</v>
      </c>
      <c r="O1081" s="5">
        <f t="shared" si="64"/>
        <v>4.4046000000000003</v>
      </c>
      <c r="P1081" s="5">
        <f t="shared" si="64"/>
        <v>14.707600000000001</v>
      </c>
      <c r="Q1081" s="5">
        <f t="shared" si="64"/>
        <v>239.38920000000005</v>
      </c>
      <c r="R1081" s="5"/>
      <c r="S1081" s="6"/>
    </row>
    <row r="1082" spans="1:19" ht="15" customHeight="1">
      <c r="A1082" s="3">
        <f t="shared" si="46"/>
        <v>2047</v>
      </c>
      <c r="B1082" s="8">
        <f t="shared" ref="B1082:J1082" si="65">AVERAGE(B401:B412)</f>
        <v>12.741833333333332</v>
      </c>
      <c r="C1082" s="8">
        <f t="shared" si="65"/>
        <v>12.748208333333332</v>
      </c>
      <c r="D1082" s="8">
        <f t="shared" si="65"/>
        <v>12.757716666666667</v>
      </c>
      <c r="E1082" s="8">
        <f t="shared" si="65"/>
        <v>12.753608333333334</v>
      </c>
      <c r="F1082" s="4">
        <f t="shared" si="65"/>
        <v>13.428675</v>
      </c>
      <c r="G1082" s="8">
        <f t="shared" si="65"/>
        <v>12.432725</v>
      </c>
      <c r="H1082" s="4">
        <f t="shared" si="65"/>
        <v>13.3506</v>
      </c>
      <c r="I1082" s="8">
        <f t="shared" si="65"/>
        <v>12.335149999999999</v>
      </c>
      <c r="J1082" s="4">
        <f t="shared" si="65"/>
        <v>12.205300000000001</v>
      </c>
      <c r="K1082" s="7"/>
      <c r="L1082" s="5">
        <f t="shared" ref="L1082:Q1082" si="66">SUM(L401:L412)</f>
        <v>355.53689999999995</v>
      </c>
      <c r="M1082" s="5">
        <f t="shared" si="66"/>
        <v>142.0401</v>
      </c>
      <c r="N1082" s="5">
        <f t="shared" si="66"/>
        <v>58.217499999999994</v>
      </c>
      <c r="O1082" s="5">
        <f t="shared" si="66"/>
        <v>4.4046000000000003</v>
      </c>
      <c r="P1082" s="5">
        <f t="shared" si="66"/>
        <v>14.707600000000001</v>
      </c>
      <c r="Q1082" s="5">
        <f t="shared" si="66"/>
        <v>238.62270000000004</v>
      </c>
      <c r="R1082" s="5"/>
      <c r="S1082" s="6"/>
    </row>
    <row r="1083" spans="1:19" ht="15" customHeight="1">
      <c r="A1083" s="3">
        <f t="shared" si="46"/>
        <v>2048</v>
      </c>
      <c r="B1083" s="8">
        <f t="shared" ref="B1083:J1083" si="67">AVERAGE(B413:B424)</f>
        <v>13.157491666666667</v>
      </c>
      <c r="C1083" s="8">
        <f t="shared" si="67"/>
        <v>13.163858333333335</v>
      </c>
      <c r="D1083" s="8">
        <f t="shared" si="67"/>
        <v>13.173399999999999</v>
      </c>
      <c r="E1083" s="8">
        <f t="shared" si="67"/>
        <v>13.169283333333333</v>
      </c>
      <c r="F1083" s="4">
        <f t="shared" si="67"/>
        <v>13.84435</v>
      </c>
      <c r="G1083" s="8">
        <f t="shared" si="67"/>
        <v>12.838725000000002</v>
      </c>
      <c r="H1083" s="4">
        <f t="shared" si="67"/>
        <v>13.756591666666667</v>
      </c>
      <c r="I1083" s="8">
        <f t="shared" si="67"/>
        <v>12.734441666666664</v>
      </c>
      <c r="J1083" s="4">
        <f t="shared" si="67"/>
        <v>12.6044</v>
      </c>
      <c r="K1083" s="7"/>
      <c r="L1083" s="5">
        <f t="shared" ref="L1083:Q1083" si="68">SUM(L413:L424)</f>
        <v>356.48229999999995</v>
      </c>
      <c r="M1083" s="5">
        <f t="shared" si="68"/>
        <v>142.42920000000001</v>
      </c>
      <c r="N1083" s="5">
        <f t="shared" si="68"/>
        <v>58.377000000000002</v>
      </c>
      <c r="O1083" s="5">
        <f t="shared" si="68"/>
        <v>4.4165999999999999</v>
      </c>
      <c r="P1083" s="5">
        <f t="shared" si="68"/>
        <v>14.7493</v>
      </c>
      <c r="Q1083" s="5">
        <f t="shared" si="68"/>
        <v>238.50780000000003</v>
      </c>
      <c r="R1083" s="5"/>
      <c r="S1083" s="6"/>
    </row>
    <row r="1084" spans="1:19" ht="15" customHeight="1">
      <c r="A1084" s="3">
        <f t="shared" si="46"/>
        <v>2049</v>
      </c>
      <c r="B1084" s="8">
        <f t="shared" ref="B1084:J1084" si="69">AVERAGE(B425:B436)</f>
        <v>13.586766666666668</v>
      </c>
      <c r="C1084" s="8">
        <f t="shared" si="69"/>
        <v>13.593141666666668</v>
      </c>
      <c r="D1084" s="8">
        <f t="shared" si="69"/>
        <v>13.602658333333332</v>
      </c>
      <c r="E1084" s="8">
        <f t="shared" si="69"/>
        <v>13.598550000000001</v>
      </c>
      <c r="F1084" s="4">
        <f t="shared" si="69"/>
        <v>14.273608333333334</v>
      </c>
      <c r="G1084" s="8">
        <f t="shared" si="69"/>
        <v>13.257966666666666</v>
      </c>
      <c r="H1084" s="4">
        <f t="shared" si="69"/>
        <v>14.175858333333336</v>
      </c>
      <c r="I1084" s="8">
        <f t="shared" si="69"/>
        <v>13.146800000000001</v>
      </c>
      <c r="J1084" s="4">
        <f t="shared" si="69"/>
        <v>13.016525</v>
      </c>
      <c r="K1084" s="7"/>
      <c r="L1084" s="5">
        <f t="shared" ref="L1084:Q1084" si="70">SUM(L425:L436)</f>
        <v>355.53689999999995</v>
      </c>
      <c r="M1084" s="5">
        <f t="shared" si="70"/>
        <v>142.0401</v>
      </c>
      <c r="N1084" s="5">
        <f t="shared" si="70"/>
        <v>58.217499999999994</v>
      </c>
      <c r="O1084" s="5">
        <f t="shared" si="70"/>
        <v>4.4046000000000003</v>
      </c>
      <c r="P1084" s="5">
        <f t="shared" si="70"/>
        <v>14.707600000000001</v>
      </c>
      <c r="Q1084" s="5">
        <f t="shared" si="70"/>
        <v>237.08969999999999</v>
      </c>
      <c r="R1084" s="5"/>
      <c r="S1084" s="6"/>
    </row>
    <row r="1085" spans="1:19" ht="15" customHeight="1">
      <c r="A1085" s="3">
        <f t="shared" si="46"/>
        <v>2050</v>
      </c>
      <c r="B1085" s="8">
        <f t="shared" ref="B1085:J1085" si="71">AVERAGE(B437:B448)</f>
        <v>14.030066666666665</v>
      </c>
      <c r="C1085" s="8">
        <f t="shared" si="71"/>
        <v>14.036433333333333</v>
      </c>
      <c r="D1085" s="8">
        <f t="shared" si="71"/>
        <v>14.045966666666665</v>
      </c>
      <c r="E1085" s="8">
        <f t="shared" si="71"/>
        <v>14.041858333333332</v>
      </c>
      <c r="F1085" s="4">
        <f t="shared" si="71"/>
        <v>14.716916666666664</v>
      </c>
      <c r="G1085" s="8">
        <f t="shared" si="71"/>
        <v>13.690958333333333</v>
      </c>
      <c r="H1085" s="4">
        <f t="shared" si="71"/>
        <v>14.608849999999999</v>
      </c>
      <c r="I1085" s="8">
        <f t="shared" si="71"/>
        <v>13.572616666666667</v>
      </c>
      <c r="J1085" s="4">
        <f t="shared" si="71"/>
        <v>13.442133333333333</v>
      </c>
      <c r="K1085" s="7"/>
      <c r="L1085" s="5">
        <f t="shared" ref="L1085:Q1085" si="72">SUM(L437:L448)</f>
        <v>355.53689999999995</v>
      </c>
      <c r="M1085" s="5">
        <f t="shared" si="72"/>
        <v>142.0401</v>
      </c>
      <c r="N1085" s="5">
        <f t="shared" si="72"/>
        <v>58.217499999999994</v>
      </c>
      <c r="O1085" s="5">
        <f t="shared" si="72"/>
        <v>4.4046000000000003</v>
      </c>
      <c r="P1085" s="5">
        <f t="shared" si="72"/>
        <v>14.707600000000001</v>
      </c>
      <c r="Q1085" s="5">
        <f t="shared" si="72"/>
        <v>236.32320000000004</v>
      </c>
      <c r="R1085" s="5"/>
      <c r="S1085" s="6"/>
    </row>
    <row r="1086" spans="1:19" ht="15" customHeight="1">
      <c r="A1086" s="3">
        <f t="shared" si="46"/>
        <v>2051</v>
      </c>
      <c r="B1086" s="8">
        <f t="shared" ref="B1086:J1086" si="73">AVERAGE(B449:B460)</f>
        <v>14.487866666666667</v>
      </c>
      <c r="C1086" s="8">
        <f t="shared" si="73"/>
        <v>14.494233333333334</v>
      </c>
      <c r="D1086" s="8">
        <f t="shared" si="73"/>
        <v>14.503774999999999</v>
      </c>
      <c r="E1086" s="8">
        <f t="shared" si="73"/>
        <v>14.499674999999998</v>
      </c>
      <c r="F1086" s="4">
        <f t="shared" si="73"/>
        <v>15.174725</v>
      </c>
      <c r="G1086" s="8">
        <f t="shared" si="73"/>
        <v>14.1381</v>
      </c>
      <c r="H1086" s="4">
        <f t="shared" si="73"/>
        <v>15.055958333333335</v>
      </c>
      <c r="I1086" s="8">
        <f t="shared" si="73"/>
        <v>14.012375</v>
      </c>
      <c r="J1086" s="4">
        <f t="shared" si="73"/>
        <v>13.881675</v>
      </c>
      <c r="K1086" s="7"/>
      <c r="L1086" s="5">
        <f t="shared" ref="L1086:Q1086" si="74">SUM(L449:L460)</f>
        <v>355.53689999999995</v>
      </c>
      <c r="M1086" s="5">
        <f t="shared" si="74"/>
        <v>142.0401</v>
      </c>
      <c r="N1086" s="5">
        <f t="shared" si="74"/>
        <v>58.217499999999994</v>
      </c>
      <c r="O1086" s="5">
        <f t="shared" si="74"/>
        <v>4.4046000000000003</v>
      </c>
      <c r="P1086" s="5">
        <f t="shared" si="74"/>
        <v>14.707600000000001</v>
      </c>
      <c r="Q1086" s="5">
        <f t="shared" si="74"/>
        <v>235.57820000000007</v>
      </c>
      <c r="R1086" s="5"/>
      <c r="S1086" s="6"/>
    </row>
    <row r="1087" spans="1:19" ht="15" customHeight="1">
      <c r="A1087" s="3">
        <f t="shared" si="46"/>
        <v>2052</v>
      </c>
      <c r="B1087" s="8">
        <f t="shared" ref="B1087:J1087" si="75">AVERAGE(B461:B472)</f>
        <v>14.960649999999999</v>
      </c>
      <c r="C1087" s="8">
        <f t="shared" si="75"/>
        <v>14.967016666666666</v>
      </c>
      <c r="D1087" s="8">
        <f t="shared" si="75"/>
        <v>14.976541666666668</v>
      </c>
      <c r="E1087" s="8">
        <f t="shared" si="75"/>
        <v>14.972441666666668</v>
      </c>
      <c r="F1087" s="4">
        <f t="shared" si="75"/>
        <v>15.647491666666667</v>
      </c>
      <c r="G1087" s="8">
        <f t="shared" si="75"/>
        <v>14.599858333333335</v>
      </c>
      <c r="H1087" s="4">
        <f t="shared" si="75"/>
        <v>15.517733333333334</v>
      </c>
      <c r="I1087" s="8">
        <f t="shared" si="75"/>
        <v>14.466499999999998</v>
      </c>
      <c r="J1087" s="4">
        <f t="shared" si="75"/>
        <v>14.335600000000001</v>
      </c>
      <c r="K1087" s="7"/>
      <c r="L1087" s="5">
        <f t="shared" ref="L1087:Q1087" si="76">SUM(L461:L472)</f>
        <v>356.48229999999995</v>
      </c>
      <c r="M1087" s="5">
        <f t="shared" si="76"/>
        <v>142.42920000000001</v>
      </c>
      <c r="N1087" s="5">
        <f t="shared" si="76"/>
        <v>58.377000000000002</v>
      </c>
      <c r="O1087" s="5">
        <f t="shared" si="76"/>
        <v>4.4165999999999999</v>
      </c>
      <c r="P1087" s="5">
        <f t="shared" si="76"/>
        <v>14.7493</v>
      </c>
      <c r="Q1087" s="5">
        <f t="shared" si="76"/>
        <v>235.45500000000004</v>
      </c>
      <c r="R1087" s="5"/>
      <c r="S1087" s="6"/>
    </row>
    <row r="1088" spans="1:19" ht="15" customHeight="1">
      <c r="A1088" s="3">
        <f t="shared" si="46"/>
        <v>2053</v>
      </c>
      <c r="B1088" s="8">
        <f t="shared" ref="B1088:J1088" si="77">AVERAGE(B473:B484)</f>
        <v>15.448874999999999</v>
      </c>
      <c r="C1088" s="8">
        <f t="shared" si="77"/>
        <v>15.455258333333335</v>
      </c>
      <c r="D1088" s="8">
        <f t="shared" si="77"/>
        <v>15.464783333333331</v>
      </c>
      <c r="E1088" s="8">
        <f t="shared" si="77"/>
        <v>15.460675</v>
      </c>
      <c r="F1088" s="4">
        <f t="shared" si="77"/>
        <v>16.135733333333334</v>
      </c>
      <c r="G1088" s="8">
        <f t="shared" si="77"/>
        <v>15.076708333333336</v>
      </c>
      <c r="H1088" s="4">
        <f t="shared" si="77"/>
        <v>15.99459166666667</v>
      </c>
      <c r="I1088" s="8">
        <f t="shared" si="77"/>
        <v>14.935491666666666</v>
      </c>
      <c r="J1088" s="4">
        <f t="shared" si="77"/>
        <v>14.804358333333333</v>
      </c>
      <c r="K1088" s="7"/>
      <c r="L1088" s="5">
        <f t="shared" ref="L1088:Q1088" si="78">SUM(L473:L484)</f>
        <v>355.53689999999995</v>
      </c>
      <c r="M1088" s="5">
        <f t="shared" si="78"/>
        <v>142.0401</v>
      </c>
      <c r="N1088" s="5">
        <f t="shared" si="78"/>
        <v>58.217499999999994</v>
      </c>
      <c r="O1088" s="5">
        <f t="shared" si="78"/>
        <v>4.4046000000000003</v>
      </c>
      <c r="P1088" s="5">
        <f t="shared" si="78"/>
        <v>14.707600000000001</v>
      </c>
      <c r="Q1088" s="5">
        <f t="shared" si="78"/>
        <v>234.04520000000002</v>
      </c>
      <c r="R1088" s="5"/>
      <c r="S1088" s="6"/>
    </row>
    <row r="1089" spans="1:19" ht="15" customHeight="1">
      <c r="A1089" s="3">
        <f t="shared" si="46"/>
        <v>2054</v>
      </c>
      <c r="B1089" s="8">
        <f t="shared" ref="B1089:J1089" si="79">AVERAGE(B485:B496)</f>
        <v>15.953099999999999</v>
      </c>
      <c r="C1089" s="8">
        <f t="shared" si="79"/>
        <v>15.959458333333332</v>
      </c>
      <c r="D1089" s="8">
        <f t="shared" si="79"/>
        <v>15.968966666666669</v>
      </c>
      <c r="E1089" s="8">
        <f t="shared" si="79"/>
        <v>15.964866666666666</v>
      </c>
      <c r="F1089" s="4">
        <f t="shared" si="79"/>
        <v>16.639916666666668</v>
      </c>
      <c r="G1089" s="8">
        <f t="shared" si="79"/>
        <v>15.569183333333333</v>
      </c>
      <c r="H1089" s="4">
        <f t="shared" si="79"/>
        <v>16.487058333333334</v>
      </c>
      <c r="I1089" s="8">
        <f t="shared" si="79"/>
        <v>15.419825000000001</v>
      </c>
      <c r="J1089" s="4">
        <f t="shared" si="79"/>
        <v>15.288425000000002</v>
      </c>
      <c r="K1089" s="7"/>
      <c r="L1089" s="5">
        <f t="shared" ref="L1089:Q1089" si="80">SUM(L485:L496)</f>
        <v>355.53689999999995</v>
      </c>
      <c r="M1089" s="5">
        <f t="shared" si="80"/>
        <v>142.0401</v>
      </c>
      <c r="N1089" s="5">
        <f t="shared" si="80"/>
        <v>58.217499999999994</v>
      </c>
      <c r="O1089" s="5">
        <f t="shared" si="80"/>
        <v>4.4046000000000003</v>
      </c>
      <c r="P1089" s="5">
        <f t="shared" si="80"/>
        <v>14.707600000000001</v>
      </c>
      <c r="Q1089" s="5">
        <f t="shared" si="80"/>
        <v>233.30079999999998</v>
      </c>
      <c r="R1089" s="5"/>
      <c r="S1089" s="6"/>
    </row>
    <row r="1090" spans="1:19" ht="15" customHeight="1">
      <c r="A1090" s="3">
        <f t="shared" si="46"/>
        <v>2055</v>
      </c>
      <c r="B1090" s="8">
        <f t="shared" ref="B1090:J1090" si="81">AVERAGE(B497:B508)</f>
        <v>16.473775</v>
      </c>
      <c r="C1090" s="8">
        <f t="shared" si="81"/>
        <v>16.480141666666668</v>
      </c>
      <c r="D1090" s="8">
        <f t="shared" si="81"/>
        <v>16.489666666666668</v>
      </c>
      <c r="E1090" s="8">
        <f t="shared" si="81"/>
        <v>16.485566666666667</v>
      </c>
      <c r="F1090" s="4">
        <f t="shared" si="81"/>
        <v>17.160625</v>
      </c>
      <c r="G1090" s="8">
        <f t="shared" si="81"/>
        <v>16.077724999999997</v>
      </c>
      <c r="H1090" s="4">
        <f t="shared" si="81"/>
        <v>16.9956</v>
      </c>
      <c r="I1090" s="8">
        <f t="shared" si="81"/>
        <v>15.920000000000002</v>
      </c>
      <c r="J1090" s="4">
        <f t="shared" si="81"/>
        <v>15.788341666666668</v>
      </c>
      <c r="K1090" s="7"/>
      <c r="L1090" s="5">
        <f t="shared" ref="L1090:Q1090" si="82">SUM(L497:L508)</f>
        <v>355.53689999999995</v>
      </c>
      <c r="M1090" s="5">
        <f t="shared" si="82"/>
        <v>142.0401</v>
      </c>
      <c r="N1090" s="5">
        <f t="shared" si="82"/>
        <v>58.217499999999994</v>
      </c>
      <c r="O1090" s="5">
        <f t="shared" si="82"/>
        <v>4.4046000000000003</v>
      </c>
      <c r="P1090" s="5">
        <f t="shared" si="82"/>
        <v>14.707600000000001</v>
      </c>
      <c r="Q1090" s="5">
        <f t="shared" si="82"/>
        <v>232.55579999999998</v>
      </c>
      <c r="R1090" s="5"/>
      <c r="S1090" s="6"/>
    </row>
    <row r="1091" spans="1:19" ht="15" customHeight="1">
      <c r="A1091" s="3">
        <f t="shared" si="46"/>
        <v>2056</v>
      </c>
      <c r="B1091" s="8">
        <f t="shared" ref="B1091:J1091" si="83">AVERAGE(B509:B520)</f>
        <v>17.011483333333331</v>
      </c>
      <c r="C1091" s="8">
        <f t="shared" si="83"/>
        <v>17.017858333333333</v>
      </c>
      <c r="D1091" s="8">
        <f t="shared" si="83"/>
        <v>17.027391666666663</v>
      </c>
      <c r="E1091" s="8">
        <f t="shared" si="83"/>
        <v>17.023275000000002</v>
      </c>
      <c r="F1091" s="4">
        <f t="shared" si="83"/>
        <v>17.698341666666668</v>
      </c>
      <c r="G1091" s="8">
        <f t="shared" si="83"/>
        <v>16.602924999999995</v>
      </c>
      <c r="H1091" s="4">
        <f t="shared" si="83"/>
        <v>17.520799999999998</v>
      </c>
      <c r="I1091" s="8">
        <f t="shared" si="83"/>
        <v>16.436508333333332</v>
      </c>
      <c r="J1091" s="4">
        <f t="shared" si="83"/>
        <v>16.304608333333331</v>
      </c>
      <c r="K1091" s="7"/>
      <c r="L1091" s="5">
        <f t="shared" ref="L1091:Q1091" si="84">SUM(L509:L520)</f>
        <v>356.48229999999995</v>
      </c>
      <c r="M1091" s="5">
        <f t="shared" si="84"/>
        <v>142.42920000000001</v>
      </c>
      <c r="N1091" s="5">
        <f t="shared" si="84"/>
        <v>58.377000000000002</v>
      </c>
      <c r="O1091" s="5">
        <f t="shared" si="84"/>
        <v>4.4165999999999999</v>
      </c>
      <c r="P1091" s="5">
        <f t="shared" si="84"/>
        <v>14.7493</v>
      </c>
      <c r="Q1091" s="5">
        <f t="shared" si="84"/>
        <v>232.44659999999996</v>
      </c>
      <c r="R1091" s="5"/>
      <c r="S1091" s="6"/>
    </row>
    <row r="1092" spans="1:19" ht="15" customHeight="1">
      <c r="A1092" s="3">
        <f t="shared" si="46"/>
        <v>2057</v>
      </c>
      <c r="B1092" s="8">
        <f t="shared" ref="B1092:J1092" si="85">AVERAGE(B521:B532)</f>
        <v>17.566791666666667</v>
      </c>
      <c r="C1092" s="8">
        <f t="shared" si="85"/>
        <v>17.573175000000003</v>
      </c>
      <c r="D1092" s="8">
        <f t="shared" si="85"/>
        <v>17.582699999999999</v>
      </c>
      <c r="E1092" s="8">
        <f t="shared" si="85"/>
        <v>17.578591666666668</v>
      </c>
      <c r="F1092" s="4">
        <f t="shared" si="85"/>
        <v>18.25365</v>
      </c>
      <c r="G1092" s="8">
        <f t="shared" si="85"/>
        <v>17.145283333333332</v>
      </c>
      <c r="H1092" s="4">
        <f t="shared" si="85"/>
        <v>18.063166666666667</v>
      </c>
      <c r="I1092" s="8">
        <f t="shared" si="85"/>
        <v>16.969941666666667</v>
      </c>
      <c r="J1092" s="4">
        <f t="shared" si="85"/>
        <v>16.837750000000003</v>
      </c>
      <c r="K1092" s="7"/>
      <c r="L1092" s="5">
        <f t="shared" ref="L1092:Q1092" si="86">SUM(L521:L532)</f>
        <v>355.53689999999995</v>
      </c>
      <c r="M1092" s="5">
        <f t="shared" si="86"/>
        <v>142.0401</v>
      </c>
      <c r="N1092" s="5">
        <f t="shared" si="86"/>
        <v>58.217499999999994</v>
      </c>
      <c r="O1092" s="5">
        <f t="shared" si="86"/>
        <v>4.4046000000000003</v>
      </c>
      <c r="P1092" s="5">
        <f t="shared" si="86"/>
        <v>14.707600000000001</v>
      </c>
      <c r="Q1092" s="5">
        <f t="shared" si="86"/>
        <v>231.81149999999997</v>
      </c>
      <c r="R1092" s="5"/>
      <c r="S1092" s="6"/>
    </row>
    <row r="1093" spans="1:19" ht="15" customHeight="1">
      <c r="A1093" s="3">
        <f t="shared" si="46"/>
        <v>2058</v>
      </c>
      <c r="B1093" s="8">
        <f t="shared" ref="B1093:J1093" si="87">AVERAGE(B533:B544)</f>
        <v>18.140266666666665</v>
      </c>
      <c r="C1093" s="8">
        <f t="shared" si="87"/>
        <v>18.146641666666667</v>
      </c>
      <c r="D1093" s="8">
        <f t="shared" si="87"/>
        <v>18.156158333333334</v>
      </c>
      <c r="E1093" s="8">
        <f t="shared" si="87"/>
        <v>18.152049999999999</v>
      </c>
      <c r="F1093" s="4">
        <f t="shared" si="87"/>
        <v>18.827124999999999</v>
      </c>
      <c r="G1093" s="8">
        <f t="shared" si="87"/>
        <v>17.705408333333335</v>
      </c>
      <c r="H1093" s="4">
        <f t="shared" si="87"/>
        <v>18.623274999999996</v>
      </c>
      <c r="I1093" s="8">
        <f t="shared" si="87"/>
        <v>17.52078333333333</v>
      </c>
      <c r="J1093" s="4">
        <f t="shared" si="87"/>
        <v>17.388349999999999</v>
      </c>
      <c r="K1093" s="7"/>
      <c r="L1093" s="5">
        <f t="shared" ref="L1093:Q1093" si="88">SUM(L533:L544)</f>
        <v>355.53689999999995</v>
      </c>
      <c r="M1093" s="5">
        <f t="shared" si="88"/>
        <v>142.0401</v>
      </c>
      <c r="N1093" s="5">
        <f t="shared" si="88"/>
        <v>58.217499999999994</v>
      </c>
      <c r="O1093" s="5">
        <f t="shared" si="88"/>
        <v>4.4046000000000003</v>
      </c>
      <c r="P1093" s="5">
        <f t="shared" si="88"/>
        <v>14.707600000000001</v>
      </c>
      <c r="Q1093" s="5">
        <f t="shared" si="88"/>
        <v>231.81149999999997</v>
      </c>
      <c r="R1093" s="5"/>
      <c r="S1093" s="6"/>
    </row>
    <row r="1094" spans="1:19" ht="15" customHeight="1">
      <c r="A1094" s="3">
        <f t="shared" si="46"/>
        <v>2059</v>
      </c>
      <c r="B1094" s="8">
        <f t="shared" ref="B1094:J1094" si="89">AVERAGE(B545:B556)</f>
        <v>18.732475000000004</v>
      </c>
      <c r="C1094" s="8">
        <f t="shared" si="89"/>
        <v>18.738858333333337</v>
      </c>
      <c r="D1094" s="8">
        <f t="shared" si="89"/>
        <v>18.748375000000003</v>
      </c>
      <c r="E1094" s="8">
        <f t="shared" si="89"/>
        <v>18.744266666666665</v>
      </c>
      <c r="F1094" s="4">
        <f t="shared" si="89"/>
        <v>19.419341666666664</v>
      </c>
      <c r="G1094" s="8">
        <f t="shared" si="89"/>
        <v>18.283824999999997</v>
      </c>
      <c r="H1094" s="4">
        <f t="shared" si="89"/>
        <v>19.201699999999999</v>
      </c>
      <c r="I1094" s="8">
        <f t="shared" si="89"/>
        <v>18.089650000000002</v>
      </c>
      <c r="J1094" s="4">
        <f t="shared" si="89"/>
        <v>17.956950000000003</v>
      </c>
      <c r="K1094" s="4"/>
      <c r="L1094" s="5">
        <f>SUM(L545:L556)</f>
        <v>355.53689999999995</v>
      </c>
      <c r="M1094" s="5">
        <f>SUM(M545:M556)</f>
        <v>142.0401</v>
      </c>
      <c r="N1094" s="5">
        <f>SUM(N545:N556)</f>
        <v>58.217499999999994</v>
      </c>
      <c r="O1094" s="5">
        <f>SUM(O534:O545)</f>
        <v>4.4046000000000003</v>
      </c>
      <c r="P1094" s="5">
        <f>SUM(P545:P556)</f>
        <v>14.707600000000001</v>
      </c>
      <c r="Q1094" s="5">
        <f>SUM(Q545:Q556)</f>
        <v>231.81149999999997</v>
      </c>
      <c r="R1094" s="5"/>
      <c r="S1094" s="4"/>
    </row>
    <row r="1095" spans="1:19" ht="15" customHeight="1">
      <c r="A1095" s="3">
        <f t="shared" si="46"/>
        <v>2060</v>
      </c>
      <c r="B1095" s="8">
        <f t="shared" ref="B1095:J1095" si="90">AVERAGE(B557:B568)</f>
        <v>19.34408333333333</v>
      </c>
      <c r="C1095" s="8">
        <f t="shared" si="90"/>
        <v>19.350449999999999</v>
      </c>
      <c r="D1095" s="8">
        <f t="shared" si="90"/>
        <v>19.359983333333332</v>
      </c>
      <c r="E1095" s="8">
        <f t="shared" si="90"/>
        <v>19.355883333333335</v>
      </c>
      <c r="F1095" s="4">
        <f t="shared" si="90"/>
        <v>20.030925</v>
      </c>
      <c r="G1095" s="8">
        <f t="shared" si="90"/>
        <v>18.881166666666669</v>
      </c>
      <c r="H1095" s="4">
        <f t="shared" si="90"/>
        <v>19.79903333333333</v>
      </c>
      <c r="I1095" s="8">
        <f t="shared" si="90"/>
        <v>18.677150000000001</v>
      </c>
      <c r="J1095" s="4">
        <f t="shared" si="90"/>
        <v>18.544125000000001</v>
      </c>
      <c r="K1095" s="7"/>
      <c r="L1095" s="5">
        <f>SUM(L557:L568)</f>
        <v>356.48229999999995</v>
      </c>
      <c r="M1095" s="5">
        <f>SUM(M557:M568)</f>
        <v>142.42920000000001</v>
      </c>
      <c r="N1095" s="5">
        <f>SUM(N557:N568)</f>
        <v>58.377000000000002</v>
      </c>
      <c r="O1095" s="5">
        <f>SUM(O535:O546)</f>
        <v>4.4046000000000003</v>
      </c>
      <c r="P1095" s="5">
        <f>SUM(P557:P568)</f>
        <v>14.7493</v>
      </c>
      <c r="Q1095" s="5">
        <f>SUM(Q557:Q568)</f>
        <v>232.44659999999996</v>
      </c>
      <c r="R1095" s="5"/>
      <c r="S1095" s="6"/>
    </row>
    <row r="1096" spans="1:19" ht="15" customHeight="1">
      <c r="A1096" s="3">
        <f t="shared" si="46"/>
        <v>2061</v>
      </c>
      <c r="B1096" s="8">
        <f t="shared" ref="B1096:J1096" si="91">AVERAGE(B569:B580)</f>
        <v>19.975658333333335</v>
      </c>
      <c r="C1096" s="8">
        <f t="shared" si="91"/>
        <v>19.98203333333333</v>
      </c>
      <c r="D1096" s="8">
        <f t="shared" si="91"/>
        <v>19.99155833333333</v>
      </c>
      <c r="E1096" s="8">
        <f t="shared" si="91"/>
        <v>19.987449999999999</v>
      </c>
      <c r="F1096" s="4">
        <f t="shared" si="91"/>
        <v>20.662508333333335</v>
      </c>
      <c r="G1096" s="8">
        <f t="shared" si="91"/>
        <v>19.498041666666669</v>
      </c>
      <c r="H1096" s="4">
        <f t="shared" si="91"/>
        <v>20.415916666666664</v>
      </c>
      <c r="I1096" s="8">
        <f t="shared" si="91"/>
        <v>19.283833333333334</v>
      </c>
      <c r="J1096" s="4">
        <f t="shared" si="91"/>
        <v>19.150516666666665</v>
      </c>
      <c r="K1096" s="7"/>
      <c r="L1096" s="5">
        <f>SUM(L569:L580)</f>
        <v>355.53689999999995</v>
      </c>
      <c r="M1096" s="5">
        <f>SUM(M569:M580)</f>
        <v>142.0401</v>
      </c>
      <c r="N1096" s="5">
        <f>SUM(N569:N580)</f>
        <v>58.217499999999994</v>
      </c>
      <c r="O1096" s="5">
        <f>SUM(O536:O547)</f>
        <v>4.4046000000000003</v>
      </c>
      <c r="P1096" s="5">
        <f>SUM(P569:P580)</f>
        <v>14.707600000000001</v>
      </c>
      <c r="Q1096" s="5">
        <f>SUM(Q569:Q580)</f>
        <v>231.81149999999997</v>
      </c>
      <c r="R1096" s="5"/>
      <c r="S1096" s="6"/>
    </row>
    <row r="1097" spans="1:19" ht="15" customHeight="1">
      <c r="A1097" s="3">
        <f t="shared" si="46"/>
        <v>2062</v>
      </c>
      <c r="B1097" s="4">
        <f t="shared" ref="B1097:J1106" ca="1" si="92">AVERAGE(OFFSET(B$581,($A1097-$A$1097)*12,0,12,1))</f>
        <v>20.627916666666664</v>
      </c>
      <c r="C1097" s="4">
        <f t="shared" ca="1" si="92"/>
        <v>20.634274999999999</v>
      </c>
      <c r="D1097" s="4">
        <f t="shared" ca="1" si="92"/>
        <v>20.643799999999999</v>
      </c>
      <c r="E1097" s="4">
        <f t="shared" ca="1" si="92"/>
        <v>20.639691666666668</v>
      </c>
      <c r="F1097" s="4">
        <f t="shared" ca="1" si="92"/>
        <v>21.314766666666667</v>
      </c>
      <c r="G1097" s="4">
        <f t="shared" ca="1" si="92"/>
        <v>20.135091666666664</v>
      </c>
      <c r="H1097" s="4">
        <f t="shared" ca="1" si="92"/>
        <v>21.052975</v>
      </c>
      <c r="I1097" s="4">
        <f t="shared" ca="1" si="92"/>
        <v>19.910366666666665</v>
      </c>
      <c r="J1097" s="4">
        <f t="shared" ca="1" si="92"/>
        <v>19.776733333333336</v>
      </c>
      <c r="K1097" s="4"/>
      <c r="L1097" s="5">
        <f t="shared" ref="L1097:Q1106" ca="1" si="93">SUM(OFFSET(L$581,($A1097-$A$1097)*12,0,12,1))</f>
        <v>355.53689999999995</v>
      </c>
      <c r="M1097" s="5">
        <f t="shared" ca="1" si="93"/>
        <v>142.0401</v>
      </c>
      <c r="N1097" s="5">
        <f t="shared" ca="1" si="93"/>
        <v>58.217499999999994</v>
      </c>
      <c r="O1097" s="5">
        <f t="shared" ca="1" si="93"/>
        <v>4.4046000000000003</v>
      </c>
      <c r="P1097" s="5">
        <f t="shared" ca="1" si="93"/>
        <v>14.707600000000001</v>
      </c>
      <c r="Q1097" s="5">
        <f t="shared" ca="1" si="93"/>
        <v>231.81149999999997</v>
      </c>
      <c r="R1097" s="4"/>
      <c r="S1097" s="4"/>
    </row>
    <row r="1098" spans="1:19" ht="15" customHeight="1">
      <c r="A1098" s="3">
        <f t="shared" si="46"/>
        <v>2063</v>
      </c>
      <c r="B1098" s="4">
        <f t="shared" ca="1" si="92"/>
        <v>21.301483333333334</v>
      </c>
      <c r="C1098" s="4">
        <f t="shared" ca="1" si="92"/>
        <v>21.307866666666666</v>
      </c>
      <c r="D1098" s="4">
        <f t="shared" ca="1" si="92"/>
        <v>21.317375000000002</v>
      </c>
      <c r="E1098" s="4">
        <f t="shared" ca="1" si="92"/>
        <v>21.313275000000001</v>
      </c>
      <c r="F1098" s="4">
        <f t="shared" ca="1" si="92"/>
        <v>21.988333333333333</v>
      </c>
      <c r="G1098" s="4">
        <f t="shared" ca="1" si="92"/>
        <v>20.792958333333335</v>
      </c>
      <c r="H1098" s="4">
        <f t="shared" ca="1" si="92"/>
        <v>21.710841666666667</v>
      </c>
      <c r="I1098" s="4">
        <f t="shared" ca="1" si="92"/>
        <v>20.55738333333333</v>
      </c>
      <c r="J1098" s="4">
        <f t="shared" ca="1" si="92"/>
        <v>20.423424999999998</v>
      </c>
      <c r="K1098" s="4"/>
      <c r="L1098" s="5">
        <f t="shared" ca="1" si="93"/>
        <v>355.53689999999995</v>
      </c>
      <c r="M1098" s="5">
        <f t="shared" ca="1" si="93"/>
        <v>142.0401</v>
      </c>
      <c r="N1098" s="5">
        <f t="shared" ca="1" si="93"/>
        <v>58.217499999999994</v>
      </c>
      <c r="O1098" s="5">
        <f t="shared" ca="1" si="93"/>
        <v>4.4046000000000003</v>
      </c>
      <c r="P1098" s="5">
        <f t="shared" ca="1" si="93"/>
        <v>14.707600000000001</v>
      </c>
      <c r="Q1098" s="5">
        <f t="shared" ca="1" si="93"/>
        <v>231.81149999999997</v>
      </c>
      <c r="R1098" s="4"/>
      <c r="S1098" s="4"/>
    </row>
    <row r="1099" spans="1:19" ht="15" customHeight="1">
      <c r="A1099" s="3">
        <f t="shared" si="46"/>
        <v>2064</v>
      </c>
      <c r="B1099" s="4">
        <f t="shared" ca="1" si="92"/>
        <v>21.997074999999995</v>
      </c>
      <c r="C1099" s="4">
        <f t="shared" ca="1" si="92"/>
        <v>22.003450000000001</v>
      </c>
      <c r="D1099" s="4">
        <f t="shared" ca="1" si="92"/>
        <v>22.012966666666667</v>
      </c>
      <c r="E1099" s="4">
        <f t="shared" ca="1" si="92"/>
        <v>22.008849999999999</v>
      </c>
      <c r="F1099" s="4">
        <f t="shared" ca="1" si="92"/>
        <v>22.683924999999999</v>
      </c>
      <c r="G1099" s="4">
        <f t="shared" ca="1" si="92"/>
        <v>21.472375</v>
      </c>
      <c r="H1099" s="4">
        <f t="shared" ca="1" si="92"/>
        <v>22.390241666666668</v>
      </c>
      <c r="I1099" s="4">
        <f t="shared" ca="1" si="92"/>
        <v>21.225574999999996</v>
      </c>
      <c r="J1099" s="4">
        <f t="shared" ca="1" si="92"/>
        <v>21.091283333333333</v>
      </c>
      <c r="K1099" s="4"/>
      <c r="L1099" s="5">
        <f t="shared" ca="1" si="93"/>
        <v>356.48229999999995</v>
      </c>
      <c r="M1099" s="5">
        <f t="shared" ca="1" si="93"/>
        <v>142.42920000000001</v>
      </c>
      <c r="N1099" s="5">
        <f t="shared" ca="1" si="93"/>
        <v>58.377000000000002</v>
      </c>
      <c r="O1099" s="5">
        <f t="shared" ca="1" si="93"/>
        <v>4.4165999999999999</v>
      </c>
      <c r="P1099" s="5">
        <f t="shared" ca="1" si="93"/>
        <v>14.7493</v>
      </c>
      <c r="Q1099" s="5">
        <f t="shared" ca="1" si="93"/>
        <v>232.44659999999996</v>
      </c>
      <c r="R1099" s="4"/>
      <c r="S1099" s="4"/>
    </row>
    <row r="1100" spans="1:19" ht="15" customHeight="1">
      <c r="A1100" s="3">
        <f t="shared" si="46"/>
        <v>2065</v>
      </c>
      <c r="B1100" s="4">
        <f t="shared" ca="1" si="92"/>
        <v>22.715458333333334</v>
      </c>
      <c r="C1100" s="4">
        <f t="shared" ca="1" si="92"/>
        <v>22.721824999999999</v>
      </c>
      <c r="D1100" s="4">
        <f t="shared" ca="1" si="92"/>
        <v>22.731333333333335</v>
      </c>
      <c r="E1100" s="4">
        <f t="shared" ca="1" si="92"/>
        <v>22.727225000000001</v>
      </c>
      <c r="F1100" s="4">
        <f t="shared" ca="1" si="92"/>
        <v>23.402274999999999</v>
      </c>
      <c r="G1100" s="4">
        <f t="shared" ca="1" si="92"/>
        <v>22.174008333333333</v>
      </c>
      <c r="H1100" s="4">
        <f t="shared" ca="1" si="92"/>
        <v>23.091875000000002</v>
      </c>
      <c r="I1100" s="4">
        <f t="shared" ca="1" si="92"/>
        <v>21.915599999999998</v>
      </c>
      <c r="J1100" s="4">
        <f t="shared" ca="1" si="92"/>
        <v>21.780975000000002</v>
      </c>
      <c r="K1100" s="4"/>
      <c r="L1100" s="5">
        <f t="shared" ca="1" si="93"/>
        <v>355.53689999999995</v>
      </c>
      <c r="M1100" s="5">
        <f t="shared" ca="1" si="93"/>
        <v>142.0401</v>
      </c>
      <c r="N1100" s="5">
        <f t="shared" ca="1" si="93"/>
        <v>58.217499999999994</v>
      </c>
      <c r="O1100" s="5">
        <f t="shared" ca="1" si="93"/>
        <v>4.4046000000000003</v>
      </c>
      <c r="P1100" s="5">
        <f t="shared" ca="1" si="93"/>
        <v>14.707600000000001</v>
      </c>
      <c r="Q1100" s="5">
        <f t="shared" ca="1" si="93"/>
        <v>231.81149999999997</v>
      </c>
      <c r="R1100" s="4"/>
      <c r="S1100" s="4"/>
    </row>
    <row r="1101" spans="1:19" ht="15" customHeight="1">
      <c r="A1101" s="3">
        <f t="shared" si="46"/>
        <v>2066</v>
      </c>
      <c r="B1101" s="4">
        <f t="shared" ca="1" si="92"/>
        <v>23.457283333333333</v>
      </c>
      <c r="C1101" s="4">
        <f t="shared" ca="1" si="92"/>
        <v>23.463650000000001</v>
      </c>
      <c r="D1101" s="4">
        <f t="shared" ca="1" si="92"/>
        <v>23.473183333333335</v>
      </c>
      <c r="E1101" s="4">
        <f t="shared" ca="1" si="92"/>
        <v>23.469083333333334</v>
      </c>
      <c r="F1101" s="4">
        <f t="shared" ca="1" si="92"/>
        <v>24.144141666666666</v>
      </c>
      <c r="G1101" s="4">
        <f t="shared" ca="1" si="92"/>
        <v>22.898566666666664</v>
      </c>
      <c r="H1101" s="4">
        <f t="shared" ca="1" si="92"/>
        <v>23.816441666666666</v>
      </c>
      <c r="I1101" s="4">
        <f t="shared" ca="1" si="92"/>
        <v>22.62821666666667</v>
      </c>
      <c r="J1101" s="4">
        <f t="shared" ca="1" si="92"/>
        <v>22.493216666666665</v>
      </c>
      <c r="K1101" s="4"/>
      <c r="L1101" s="5">
        <f t="shared" ca="1" si="93"/>
        <v>355.53689999999995</v>
      </c>
      <c r="M1101" s="5">
        <f t="shared" ca="1" si="93"/>
        <v>142.0401</v>
      </c>
      <c r="N1101" s="5">
        <f t="shared" ca="1" si="93"/>
        <v>58.217499999999994</v>
      </c>
      <c r="O1101" s="5">
        <f t="shared" ca="1" si="93"/>
        <v>4.4046000000000003</v>
      </c>
      <c r="P1101" s="5">
        <f t="shared" ca="1" si="93"/>
        <v>14.707600000000001</v>
      </c>
      <c r="Q1101" s="5">
        <f t="shared" ca="1" si="93"/>
        <v>231.81149999999997</v>
      </c>
      <c r="R1101" s="4"/>
      <c r="S1101" s="4"/>
    </row>
    <row r="1102" spans="1:19" ht="15" customHeight="1">
      <c r="A1102" s="3">
        <f t="shared" si="46"/>
        <v>2067</v>
      </c>
      <c r="B1102" s="4">
        <f t="shared" ca="1" si="92"/>
        <v>24.223416666666669</v>
      </c>
      <c r="C1102" s="4">
        <f t="shared" ca="1" si="92"/>
        <v>24.229758333333336</v>
      </c>
      <c r="D1102" s="4">
        <f t="shared" ca="1" si="92"/>
        <v>24.239283333333333</v>
      </c>
      <c r="E1102" s="4">
        <f t="shared" ca="1" si="92"/>
        <v>24.235174999999998</v>
      </c>
      <c r="F1102" s="4">
        <f t="shared" ca="1" si="92"/>
        <v>24.910233333333334</v>
      </c>
      <c r="G1102" s="4">
        <f t="shared" ca="1" si="92"/>
        <v>23.646808333333336</v>
      </c>
      <c r="H1102" s="4">
        <f t="shared" ca="1" si="92"/>
        <v>24.564683333333335</v>
      </c>
      <c r="I1102" s="4">
        <f t="shared" ca="1" si="92"/>
        <v>23.364116666666664</v>
      </c>
      <c r="J1102" s="4">
        <f t="shared" ca="1" si="92"/>
        <v>23.228758333333332</v>
      </c>
      <c r="K1102" s="4"/>
      <c r="L1102" s="5">
        <f t="shared" ca="1" si="93"/>
        <v>355.53689999999995</v>
      </c>
      <c r="M1102" s="5">
        <f t="shared" ca="1" si="93"/>
        <v>142.0401</v>
      </c>
      <c r="N1102" s="5">
        <f t="shared" ca="1" si="93"/>
        <v>58.217499999999994</v>
      </c>
      <c r="O1102" s="5">
        <f t="shared" ca="1" si="93"/>
        <v>4.4046000000000003</v>
      </c>
      <c r="P1102" s="5">
        <f t="shared" ca="1" si="93"/>
        <v>14.707600000000001</v>
      </c>
      <c r="Q1102" s="5">
        <f t="shared" ca="1" si="93"/>
        <v>231.81149999999997</v>
      </c>
      <c r="R1102" s="4"/>
      <c r="S1102" s="4"/>
    </row>
    <row r="1103" spans="1:19" ht="15" customHeight="1">
      <c r="A1103" s="3">
        <f t="shared" si="46"/>
        <v>2068</v>
      </c>
      <c r="B1103" s="4">
        <f t="shared" ca="1" si="92"/>
        <v>25.01455</v>
      </c>
      <c r="C1103" s="4">
        <f t="shared" ca="1" si="92"/>
        <v>25.020925000000002</v>
      </c>
      <c r="D1103" s="4">
        <f t="shared" ca="1" si="92"/>
        <v>25.030450000000002</v>
      </c>
      <c r="E1103" s="4">
        <f t="shared" ca="1" si="92"/>
        <v>25.02633333333333</v>
      </c>
      <c r="F1103" s="4">
        <f t="shared" ca="1" si="92"/>
        <v>25.70141666666667</v>
      </c>
      <c r="G1103" s="4">
        <f t="shared" ca="1" si="92"/>
        <v>24.419550000000001</v>
      </c>
      <c r="H1103" s="4">
        <f t="shared" ca="1" si="92"/>
        <v>25.337416666666666</v>
      </c>
      <c r="I1103" s="4">
        <f t="shared" ca="1" si="92"/>
        <v>24.124091666666672</v>
      </c>
      <c r="J1103" s="4">
        <f t="shared" ca="1" si="92"/>
        <v>23.988366666666668</v>
      </c>
      <c r="K1103" s="4"/>
      <c r="L1103" s="5">
        <f t="shared" ca="1" si="93"/>
        <v>356.48229999999995</v>
      </c>
      <c r="M1103" s="5">
        <f t="shared" ca="1" si="93"/>
        <v>142.42920000000001</v>
      </c>
      <c r="N1103" s="5">
        <f t="shared" ca="1" si="93"/>
        <v>58.377000000000002</v>
      </c>
      <c r="O1103" s="5">
        <f t="shared" ca="1" si="93"/>
        <v>4.4165999999999999</v>
      </c>
      <c r="P1103" s="5">
        <f t="shared" ca="1" si="93"/>
        <v>14.7493</v>
      </c>
      <c r="Q1103" s="5">
        <f t="shared" ca="1" si="93"/>
        <v>232.44659999999996</v>
      </c>
      <c r="R1103" s="4"/>
      <c r="S1103" s="4"/>
    </row>
    <row r="1104" spans="1:19" ht="15" customHeight="1">
      <c r="A1104" s="3">
        <f t="shared" si="46"/>
        <v>2069</v>
      </c>
      <c r="B1104" s="4">
        <f t="shared" ca="1" si="92"/>
        <v>25.831591666666665</v>
      </c>
      <c r="C1104" s="4">
        <f t="shared" ca="1" si="92"/>
        <v>25.837949999999996</v>
      </c>
      <c r="D1104" s="4">
        <f t="shared" ca="1" si="92"/>
        <v>25.847475000000003</v>
      </c>
      <c r="E1104" s="4">
        <f t="shared" ca="1" si="92"/>
        <v>25.843366666666665</v>
      </c>
      <c r="F1104" s="4">
        <f t="shared" ca="1" si="92"/>
        <v>26.518450000000001</v>
      </c>
      <c r="G1104" s="4">
        <f t="shared" ca="1" si="92"/>
        <v>25.217541666666662</v>
      </c>
      <c r="H1104" s="4">
        <f t="shared" ca="1" si="92"/>
        <v>26.135425000000001</v>
      </c>
      <c r="I1104" s="4">
        <f t="shared" ca="1" si="92"/>
        <v>24.908925</v>
      </c>
      <c r="J1104" s="4">
        <f t="shared" ca="1" si="92"/>
        <v>24.772791666666667</v>
      </c>
      <c r="K1104" s="4"/>
      <c r="L1104" s="5">
        <f t="shared" ca="1" si="93"/>
        <v>355.53689999999995</v>
      </c>
      <c r="M1104" s="5">
        <f t="shared" ca="1" si="93"/>
        <v>142.0401</v>
      </c>
      <c r="N1104" s="5">
        <f t="shared" ca="1" si="93"/>
        <v>58.217499999999994</v>
      </c>
      <c r="O1104" s="5">
        <f t="shared" ca="1" si="93"/>
        <v>4.4046000000000003</v>
      </c>
      <c r="P1104" s="5">
        <f t="shared" ca="1" si="93"/>
        <v>14.707600000000001</v>
      </c>
      <c r="Q1104" s="5">
        <f t="shared" ca="1" si="93"/>
        <v>231.81149999999997</v>
      </c>
      <c r="R1104" s="4"/>
      <c r="S1104" s="4"/>
    </row>
    <row r="1105" spans="1:19" ht="15" customHeight="1">
      <c r="A1105" s="3">
        <f t="shared" ref="A1105:A1135" si="94">A1104+1</f>
        <v>2070</v>
      </c>
      <c r="B1105" s="4">
        <f t="shared" ca="1" si="92"/>
        <v>26.675341666666665</v>
      </c>
      <c r="C1105" s="4">
        <f t="shared" ca="1" si="92"/>
        <v>26.68171666666667</v>
      </c>
      <c r="D1105" s="4">
        <f t="shared" ca="1" si="92"/>
        <v>26.691233333333333</v>
      </c>
      <c r="E1105" s="4">
        <f t="shared" ca="1" si="92"/>
        <v>26.687125000000005</v>
      </c>
      <c r="F1105" s="4">
        <f t="shared" ca="1" si="92"/>
        <v>27.362191666666671</v>
      </c>
      <c r="G1105" s="4">
        <f t="shared" ca="1" si="92"/>
        <v>26.041641666666667</v>
      </c>
      <c r="H1105" s="4">
        <f t="shared" ca="1" si="92"/>
        <v>26.959533333333336</v>
      </c>
      <c r="I1105" s="4">
        <f t="shared" ca="1" si="92"/>
        <v>25.719424999999998</v>
      </c>
      <c r="J1105" s="4">
        <f t="shared" ca="1" si="92"/>
        <v>25.582866666666664</v>
      </c>
      <c r="K1105" s="4"/>
      <c r="L1105" s="5">
        <f t="shared" ca="1" si="93"/>
        <v>355.53689999999995</v>
      </c>
      <c r="M1105" s="5">
        <f t="shared" ca="1" si="93"/>
        <v>142.0401</v>
      </c>
      <c r="N1105" s="5">
        <f t="shared" ca="1" si="93"/>
        <v>58.217499999999994</v>
      </c>
      <c r="O1105" s="5">
        <f t="shared" ca="1" si="93"/>
        <v>4.4046000000000003</v>
      </c>
      <c r="P1105" s="5">
        <f t="shared" ca="1" si="93"/>
        <v>14.707600000000001</v>
      </c>
      <c r="Q1105" s="5">
        <f t="shared" ca="1" si="93"/>
        <v>231.81149999999997</v>
      </c>
      <c r="R1105" s="4"/>
      <c r="S1105" s="4"/>
    </row>
    <row r="1106" spans="1:19" ht="15" customHeight="1">
      <c r="A1106" s="3">
        <f t="shared" si="94"/>
        <v>2071</v>
      </c>
      <c r="B1106" s="4">
        <f t="shared" ca="1" si="92"/>
        <v>27.546699999999998</v>
      </c>
      <c r="C1106" s="4">
        <f t="shared" ca="1" si="92"/>
        <v>27.553066666666666</v>
      </c>
      <c r="D1106" s="4">
        <f t="shared" ca="1" si="92"/>
        <v>27.562574999999995</v>
      </c>
      <c r="E1106" s="4">
        <f t="shared" ca="1" si="92"/>
        <v>27.558474999999998</v>
      </c>
      <c r="F1106" s="4">
        <f t="shared" ca="1" si="92"/>
        <v>28.233541666666667</v>
      </c>
      <c r="G1106" s="4">
        <f t="shared" ca="1" si="92"/>
        <v>26.892683333333338</v>
      </c>
      <c r="H1106" s="4">
        <f t="shared" ca="1" si="92"/>
        <v>27.810575</v>
      </c>
      <c r="I1106" s="4">
        <f t="shared" ca="1" si="92"/>
        <v>26.556416666666667</v>
      </c>
      <c r="J1106" s="4">
        <f t="shared" ca="1" si="92"/>
        <v>26.419450000000001</v>
      </c>
      <c r="K1106" s="4"/>
      <c r="L1106" s="5">
        <f t="shared" ca="1" si="93"/>
        <v>355.53689999999995</v>
      </c>
      <c r="M1106" s="5">
        <f t="shared" ca="1" si="93"/>
        <v>142.0401</v>
      </c>
      <c r="N1106" s="5">
        <f t="shared" ca="1" si="93"/>
        <v>58.217499999999994</v>
      </c>
      <c r="O1106" s="5">
        <f t="shared" ca="1" si="93"/>
        <v>4.4046000000000003</v>
      </c>
      <c r="P1106" s="5">
        <f t="shared" ca="1" si="93"/>
        <v>14.707600000000001</v>
      </c>
      <c r="Q1106" s="5">
        <f t="shared" ca="1" si="93"/>
        <v>231.81149999999997</v>
      </c>
      <c r="R1106" s="4"/>
      <c r="S1106" s="4"/>
    </row>
    <row r="1107" spans="1:19" ht="15" customHeight="1">
      <c r="A1107" s="3">
        <f t="shared" si="94"/>
        <v>2072</v>
      </c>
      <c r="B1107" s="4">
        <f t="shared" ref="B1107:J1116" ca="1" si="95">AVERAGE(OFFSET(B$581,($A1107-$A$1097)*12,0,12,1))</f>
        <v>28.446541666666665</v>
      </c>
      <c r="C1107" s="4">
        <f t="shared" ca="1" si="95"/>
        <v>28.452908333333337</v>
      </c>
      <c r="D1107" s="4">
        <f t="shared" ca="1" si="95"/>
        <v>28.462433333333333</v>
      </c>
      <c r="E1107" s="4">
        <f t="shared" ca="1" si="95"/>
        <v>28.458325000000002</v>
      </c>
      <c r="F1107" s="4">
        <f t="shared" ca="1" si="95"/>
        <v>29.133366666666664</v>
      </c>
      <c r="G1107" s="4">
        <f t="shared" ca="1" si="95"/>
        <v>27.771583333333336</v>
      </c>
      <c r="H1107" s="4">
        <f t="shared" ca="1" si="95"/>
        <v>28.689450000000004</v>
      </c>
      <c r="I1107" s="4">
        <f t="shared" ca="1" si="95"/>
        <v>27.420791666666663</v>
      </c>
      <c r="J1107" s="4">
        <f t="shared" ca="1" si="95"/>
        <v>27.283400000000004</v>
      </c>
      <c r="K1107" s="4"/>
      <c r="L1107" s="5">
        <f t="shared" ref="L1107:Q1116" ca="1" si="96">SUM(OFFSET(L$581,($A1107-$A$1097)*12,0,12,1))</f>
        <v>356.48229999999995</v>
      </c>
      <c r="M1107" s="5">
        <f t="shared" ca="1" si="96"/>
        <v>142.42920000000001</v>
      </c>
      <c r="N1107" s="5">
        <f t="shared" ca="1" si="96"/>
        <v>58.377000000000002</v>
      </c>
      <c r="O1107" s="5">
        <f t="shared" ca="1" si="96"/>
        <v>4.4165999999999999</v>
      </c>
      <c r="P1107" s="5">
        <f t="shared" ca="1" si="96"/>
        <v>14.7493</v>
      </c>
      <c r="Q1107" s="5">
        <f t="shared" ca="1" si="96"/>
        <v>232.44659999999996</v>
      </c>
      <c r="R1107" s="4"/>
      <c r="S1107" s="4"/>
    </row>
    <row r="1108" spans="1:19" ht="15" customHeight="1">
      <c r="A1108" s="3">
        <f t="shared" si="94"/>
        <v>2073</v>
      </c>
      <c r="B1108" s="4">
        <f t="shared" ca="1" si="95"/>
        <v>29.375816666666669</v>
      </c>
      <c r="C1108" s="4">
        <f t="shared" ca="1" si="95"/>
        <v>29.382183333333341</v>
      </c>
      <c r="D1108" s="4">
        <f t="shared" ca="1" si="95"/>
        <v>29.391699999999997</v>
      </c>
      <c r="E1108" s="4">
        <f t="shared" ca="1" si="95"/>
        <v>29.387599999999996</v>
      </c>
      <c r="F1108" s="4">
        <f t="shared" ca="1" si="95"/>
        <v>30.062666666666658</v>
      </c>
      <c r="G1108" s="4">
        <f t="shared" ca="1" si="95"/>
        <v>28.679199999999998</v>
      </c>
      <c r="H1108" s="4">
        <f t="shared" ca="1" si="95"/>
        <v>29.597083333333334</v>
      </c>
      <c r="I1108" s="4">
        <f t="shared" ca="1" si="95"/>
        <v>28.313433333333332</v>
      </c>
      <c r="J1108" s="4">
        <f t="shared" ca="1" si="95"/>
        <v>28.175591666666666</v>
      </c>
      <c r="K1108" s="4"/>
      <c r="L1108" s="5">
        <f t="shared" ca="1" si="96"/>
        <v>355.53689999999995</v>
      </c>
      <c r="M1108" s="5">
        <f t="shared" ca="1" si="96"/>
        <v>142.0401</v>
      </c>
      <c r="N1108" s="5">
        <f t="shared" ca="1" si="96"/>
        <v>58.217499999999994</v>
      </c>
      <c r="O1108" s="5">
        <f t="shared" ca="1" si="96"/>
        <v>4.4046000000000003</v>
      </c>
      <c r="P1108" s="5">
        <f t="shared" ca="1" si="96"/>
        <v>14.707600000000001</v>
      </c>
      <c r="Q1108" s="5">
        <f t="shared" ca="1" si="96"/>
        <v>231.81149999999997</v>
      </c>
      <c r="R1108" s="4"/>
      <c r="S1108" s="4"/>
    </row>
    <row r="1109" spans="1:19" ht="15" customHeight="1">
      <c r="A1109" s="3">
        <f t="shared" si="94"/>
        <v>2074</v>
      </c>
      <c r="B1109" s="4">
        <f t="shared" ca="1" si="95"/>
        <v>30.335475000000006</v>
      </c>
      <c r="C1109" s="4">
        <f t="shared" ca="1" si="95"/>
        <v>30.341841666666667</v>
      </c>
      <c r="D1109" s="4">
        <f t="shared" ca="1" si="95"/>
        <v>30.351366666666664</v>
      </c>
      <c r="E1109" s="4">
        <f t="shared" ca="1" si="95"/>
        <v>30.347266666666666</v>
      </c>
      <c r="F1109" s="4">
        <f t="shared" ca="1" si="95"/>
        <v>31.022324999999999</v>
      </c>
      <c r="G1109" s="4">
        <f t="shared" ca="1" si="95"/>
        <v>29.616516666666673</v>
      </c>
      <c r="H1109" s="4">
        <f t="shared" ca="1" si="95"/>
        <v>30.534383333333334</v>
      </c>
      <c r="I1109" s="4">
        <f t="shared" ca="1" si="95"/>
        <v>29.235266666666664</v>
      </c>
      <c r="J1109" s="4">
        <f t="shared" ca="1" si="95"/>
        <v>29.096975</v>
      </c>
      <c r="K1109" s="4"/>
      <c r="L1109" s="5">
        <f t="shared" ca="1" si="96"/>
        <v>355.53689999999995</v>
      </c>
      <c r="M1109" s="5">
        <f t="shared" ca="1" si="96"/>
        <v>142.0401</v>
      </c>
      <c r="N1109" s="5">
        <f t="shared" ca="1" si="96"/>
        <v>58.217499999999994</v>
      </c>
      <c r="O1109" s="5">
        <f t="shared" ca="1" si="96"/>
        <v>4.4046000000000003</v>
      </c>
      <c r="P1109" s="5">
        <f t="shared" ca="1" si="96"/>
        <v>14.707600000000001</v>
      </c>
      <c r="Q1109" s="5">
        <f t="shared" ca="1" si="96"/>
        <v>231.81149999999997</v>
      </c>
      <c r="R1109" s="4"/>
      <c r="S1109" s="4"/>
    </row>
    <row r="1110" spans="1:19" ht="15" customHeight="1">
      <c r="A1110" s="3">
        <f t="shared" si="94"/>
        <v>2075</v>
      </c>
      <c r="B1110" s="4">
        <f t="shared" ca="1" si="95"/>
        <v>31.326508333333333</v>
      </c>
      <c r="C1110" s="4">
        <f t="shared" ca="1" si="95"/>
        <v>31.332899999999999</v>
      </c>
      <c r="D1110" s="4">
        <f t="shared" ca="1" si="95"/>
        <v>31.342425000000002</v>
      </c>
      <c r="E1110" s="4">
        <f t="shared" ca="1" si="95"/>
        <v>31.338316666666671</v>
      </c>
      <c r="F1110" s="4">
        <f t="shared" ca="1" si="95"/>
        <v>32.013375000000003</v>
      </c>
      <c r="G1110" s="4">
        <f t="shared" ca="1" si="95"/>
        <v>30.584466666666668</v>
      </c>
      <c r="H1110" s="4">
        <f t="shared" ca="1" si="95"/>
        <v>31.502358333333333</v>
      </c>
      <c r="I1110" s="4">
        <f t="shared" ca="1" si="95"/>
        <v>30.187241666666665</v>
      </c>
      <c r="J1110" s="4">
        <f t="shared" ca="1" si="95"/>
        <v>30.048475000000007</v>
      </c>
      <c r="K1110" s="4"/>
      <c r="L1110" s="5">
        <f t="shared" ca="1" si="96"/>
        <v>355.53689999999995</v>
      </c>
      <c r="M1110" s="5">
        <f t="shared" ca="1" si="96"/>
        <v>142.0401</v>
      </c>
      <c r="N1110" s="5">
        <f t="shared" ca="1" si="96"/>
        <v>58.217499999999994</v>
      </c>
      <c r="O1110" s="5">
        <f t="shared" ca="1" si="96"/>
        <v>4.4046000000000003</v>
      </c>
      <c r="P1110" s="5">
        <f t="shared" ca="1" si="96"/>
        <v>14.707600000000001</v>
      </c>
      <c r="Q1110" s="5">
        <f t="shared" ca="1" si="96"/>
        <v>231.81149999999997</v>
      </c>
      <c r="R1110" s="4"/>
      <c r="S1110" s="4"/>
    </row>
    <row r="1111" spans="1:19" ht="15" customHeight="1">
      <c r="A1111" s="3">
        <f t="shared" si="94"/>
        <v>2076</v>
      </c>
      <c r="B1111" s="4">
        <f t="shared" ca="1" si="95"/>
        <v>32.34996666666666</v>
      </c>
      <c r="C1111" s="4">
        <f t="shared" ca="1" si="95"/>
        <v>32.356349999999999</v>
      </c>
      <c r="D1111" s="4">
        <f t="shared" ca="1" si="95"/>
        <v>32.365883333333329</v>
      </c>
      <c r="E1111" s="4">
        <f t="shared" ca="1" si="95"/>
        <v>32.361766666666668</v>
      </c>
      <c r="F1111" s="4">
        <f t="shared" ca="1" si="95"/>
        <v>33.036824999999993</v>
      </c>
      <c r="G1111" s="4">
        <f t="shared" ca="1" si="95"/>
        <v>31.584083333333336</v>
      </c>
      <c r="H1111" s="4">
        <f t="shared" ca="1" si="95"/>
        <v>32.501966666666668</v>
      </c>
      <c r="I1111" s="4">
        <f t="shared" ca="1" si="95"/>
        <v>31.170366666666666</v>
      </c>
      <c r="J1111" s="4">
        <f t="shared" ca="1" si="95"/>
        <v>31.031116666666662</v>
      </c>
      <c r="K1111" s="4"/>
      <c r="L1111" s="5">
        <f t="shared" ca="1" si="96"/>
        <v>356.48229999999995</v>
      </c>
      <c r="M1111" s="5">
        <f t="shared" ca="1" si="96"/>
        <v>142.42920000000001</v>
      </c>
      <c r="N1111" s="5">
        <f t="shared" ca="1" si="96"/>
        <v>58.377000000000002</v>
      </c>
      <c r="O1111" s="5">
        <f t="shared" ca="1" si="96"/>
        <v>4.4165999999999999</v>
      </c>
      <c r="P1111" s="5">
        <f t="shared" ca="1" si="96"/>
        <v>14.7493</v>
      </c>
      <c r="Q1111" s="5">
        <f t="shared" ca="1" si="96"/>
        <v>232.44659999999996</v>
      </c>
      <c r="R1111" s="4"/>
      <c r="S1111" s="4"/>
    </row>
    <row r="1112" spans="1:19" ht="15" customHeight="1">
      <c r="A1112" s="3">
        <f t="shared" si="94"/>
        <v>2077</v>
      </c>
      <c r="B1112" s="4">
        <f t="shared" ca="1" si="95"/>
        <v>33.406925000000008</v>
      </c>
      <c r="C1112" s="4">
        <f t="shared" ca="1" si="95"/>
        <v>33.413291666666673</v>
      </c>
      <c r="D1112" s="4">
        <f t="shared" ca="1" si="95"/>
        <v>33.422808333333329</v>
      </c>
      <c r="E1112" s="4">
        <f t="shared" ca="1" si="95"/>
        <v>33.418700000000001</v>
      </c>
      <c r="F1112" s="4">
        <f t="shared" ca="1" si="95"/>
        <v>34.093775000000001</v>
      </c>
      <c r="G1112" s="4">
        <f t="shared" ca="1" si="95"/>
        <v>32.616391666666665</v>
      </c>
      <c r="H1112" s="4">
        <f t="shared" ca="1" si="95"/>
        <v>33.53426666666666</v>
      </c>
      <c r="I1112" s="4">
        <f t="shared" ca="1" si="95"/>
        <v>32.185633333333335</v>
      </c>
      <c r="J1112" s="4">
        <f t="shared" ca="1" si="95"/>
        <v>32.045858333333335</v>
      </c>
      <c r="K1112" s="4"/>
      <c r="L1112" s="5">
        <f t="shared" ca="1" si="96"/>
        <v>355.53689999999995</v>
      </c>
      <c r="M1112" s="5">
        <f t="shared" ca="1" si="96"/>
        <v>142.0401</v>
      </c>
      <c r="N1112" s="5">
        <f t="shared" ca="1" si="96"/>
        <v>58.217499999999994</v>
      </c>
      <c r="O1112" s="5">
        <f t="shared" ca="1" si="96"/>
        <v>4.4046000000000003</v>
      </c>
      <c r="P1112" s="5">
        <f t="shared" ca="1" si="96"/>
        <v>14.707600000000001</v>
      </c>
      <c r="Q1112" s="5">
        <f t="shared" ca="1" si="96"/>
        <v>231.81149999999997</v>
      </c>
      <c r="R1112" s="4"/>
      <c r="S1112" s="4"/>
    </row>
    <row r="1113" spans="1:19" ht="15" customHeight="1">
      <c r="A1113" s="3">
        <f t="shared" si="94"/>
        <v>2078</v>
      </c>
      <c r="B1113" s="4">
        <f t="shared" ca="1" si="95"/>
        <v>34.498416666666664</v>
      </c>
      <c r="C1113" s="4">
        <f t="shared" ca="1" si="95"/>
        <v>34.504799999999996</v>
      </c>
      <c r="D1113" s="4">
        <f t="shared" ca="1" si="95"/>
        <v>34.514308333333339</v>
      </c>
      <c r="E1113" s="4">
        <f t="shared" ca="1" si="95"/>
        <v>34.51019999999999</v>
      </c>
      <c r="F1113" s="4">
        <f t="shared" ca="1" si="95"/>
        <v>35.185266666666664</v>
      </c>
      <c r="G1113" s="4">
        <f t="shared" ca="1" si="95"/>
        <v>33.68246666666667</v>
      </c>
      <c r="H1113" s="4">
        <f t="shared" ca="1" si="95"/>
        <v>34.600341666666672</v>
      </c>
      <c r="I1113" s="4">
        <f t="shared" ca="1" si="95"/>
        <v>33.234108333333346</v>
      </c>
      <c r="J1113" s="4">
        <f t="shared" ca="1" si="95"/>
        <v>33.093799999999995</v>
      </c>
      <c r="K1113" s="4"/>
      <c r="L1113" s="5">
        <f t="shared" ca="1" si="96"/>
        <v>355.53689999999995</v>
      </c>
      <c r="M1113" s="5">
        <f t="shared" ca="1" si="96"/>
        <v>142.0401</v>
      </c>
      <c r="N1113" s="5">
        <f t="shared" ca="1" si="96"/>
        <v>58.217499999999994</v>
      </c>
      <c r="O1113" s="5">
        <f t="shared" ca="1" si="96"/>
        <v>4.4046000000000003</v>
      </c>
      <c r="P1113" s="5">
        <f t="shared" ca="1" si="96"/>
        <v>14.707600000000001</v>
      </c>
      <c r="Q1113" s="5">
        <f t="shared" ca="1" si="96"/>
        <v>231.81149999999997</v>
      </c>
      <c r="R1113" s="4"/>
      <c r="S1113" s="4"/>
    </row>
    <row r="1114" spans="1:19" ht="15" customHeight="1">
      <c r="A1114" s="3">
        <f t="shared" si="94"/>
        <v>2079</v>
      </c>
      <c r="B1114" s="4">
        <f t="shared" ca="1" si="95"/>
        <v>35.625608333333332</v>
      </c>
      <c r="C1114" s="4">
        <f t="shared" ca="1" si="95"/>
        <v>35.631974999999997</v>
      </c>
      <c r="D1114" s="4">
        <f t="shared" ca="1" si="95"/>
        <v>35.641500000000001</v>
      </c>
      <c r="E1114" s="4">
        <f t="shared" ca="1" si="95"/>
        <v>35.637383333333332</v>
      </c>
      <c r="F1114" s="4">
        <f t="shared" ca="1" si="95"/>
        <v>36.312449999999991</v>
      </c>
      <c r="G1114" s="4">
        <f t="shared" ca="1" si="95"/>
        <v>34.783391666666667</v>
      </c>
      <c r="H1114" s="4">
        <f t="shared" ca="1" si="95"/>
        <v>35.701283333333329</v>
      </c>
      <c r="I1114" s="4">
        <f t="shared" ca="1" si="95"/>
        <v>34.316874999999996</v>
      </c>
      <c r="J1114" s="4">
        <f t="shared" ca="1" si="95"/>
        <v>34.176016666666669</v>
      </c>
      <c r="K1114" s="4"/>
      <c r="L1114" s="5">
        <f t="shared" ca="1" si="96"/>
        <v>355.53689999999995</v>
      </c>
      <c r="M1114" s="5">
        <f t="shared" ca="1" si="96"/>
        <v>142.0401</v>
      </c>
      <c r="N1114" s="5">
        <f t="shared" ca="1" si="96"/>
        <v>58.217499999999994</v>
      </c>
      <c r="O1114" s="5">
        <f t="shared" ca="1" si="96"/>
        <v>4.4046000000000003</v>
      </c>
      <c r="P1114" s="5">
        <f t="shared" ca="1" si="96"/>
        <v>14.707600000000001</v>
      </c>
      <c r="Q1114" s="5">
        <f t="shared" ca="1" si="96"/>
        <v>231.81149999999997</v>
      </c>
      <c r="R1114" s="4"/>
      <c r="S1114" s="4"/>
    </row>
    <row r="1115" spans="1:19" ht="15" customHeight="1">
      <c r="A1115" s="3">
        <f t="shared" si="94"/>
        <v>2080</v>
      </c>
      <c r="B1115" s="4">
        <f t="shared" ca="1" si="95"/>
        <v>36.789658333333342</v>
      </c>
      <c r="C1115" s="4">
        <f t="shared" ca="1" si="95"/>
        <v>36.796033333333334</v>
      </c>
      <c r="D1115" s="4">
        <f t="shared" ca="1" si="95"/>
        <v>36.805549999999997</v>
      </c>
      <c r="E1115" s="4">
        <f t="shared" ca="1" si="95"/>
        <v>36.801441666666669</v>
      </c>
      <c r="F1115" s="4">
        <f t="shared" ca="1" si="95"/>
        <v>37.476516666666669</v>
      </c>
      <c r="G1115" s="4">
        <f t="shared" ca="1" si="95"/>
        <v>35.920341666666666</v>
      </c>
      <c r="H1115" s="4">
        <f t="shared" ca="1" si="95"/>
        <v>36.838225000000001</v>
      </c>
      <c r="I1115" s="4">
        <f t="shared" ca="1" si="95"/>
        <v>35.43503333333333</v>
      </c>
      <c r="J1115" s="4">
        <f t="shared" ca="1" si="95"/>
        <v>35.293633333333332</v>
      </c>
      <c r="K1115" s="4"/>
      <c r="L1115" s="5">
        <f t="shared" ca="1" si="96"/>
        <v>356.48229999999995</v>
      </c>
      <c r="M1115" s="5">
        <f t="shared" ca="1" si="96"/>
        <v>142.42920000000001</v>
      </c>
      <c r="N1115" s="5">
        <f t="shared" ca="1" si="96"/>
        <v>58.377000000000002</v>
      </c>
      <c r="O1115" s="5">
        <f t="shared" ca="1" si="96"/>
        <v>4.4165999999999999</v>
      </c>
      <c r="P1115" s="5">
        <f t="shared" ca="1" si="96"/>
        <v>14.7493</v>
      </c>
      <c r="Q1115" s="5">
        <f t="shared" ca="1" si="96"/>
        <v>232.44659999999996</v>
      </c>
      <c r="R1115" s="4"/>
      <c r="S1115" s="4"/>
    </row>
    <row r="1116" spans="1:19" ht="15" customHeight="1">
      <c r="A1116" s="3">
        <f t="shared" si="94"/>
        <v>2081</v>
      </c>
      <c r="B1116" s="4">
        <f t="shared" ca="1" si="95"/>
        <v>37.991783333333338</v>
      </c>
      <c r="C1116" s="4">
        <f t="shared" ca="1" si="95"/>
        <v>37.99817500000001</v>
      </c>
      <c r="D1116" s="4">
        <f t="shared" ca="1" si="95"/>
        <v>38.007683333333333</v>
      </c>
      <c r="E1116" s="4">
        <f t="shared" ca="1" si="95"/>
        <v>38.003575000000005</v>
      </c>
      <c r="F1116" s="4">
        <f t="shared" ca="1" si="95"/>
        <v>38.678625000000004</v>
      </c>
      <c r="G1116" s="4">
        <f t="shared" ca="1" si="95"/>
        <v>37.094458333333343</v>
      </c>
      <c r="H1116" s="4">
        <f t="shared" ca="1" si="95"/>
        <v>38.012341666666671</v>
      </c>
      <c r="I1116" s="4">
        <f t="shared" ca="1" si="95"/>
        <v>36.589766666666669</v>
      </c>
      <c r="J1116" s="4">
        <f t="shared" ca="1" si="95"/>
        <v>36.447783333333334</v>
      </c>
      <c r="K1116" s="4"/>
      <c r="L1116" s="5">
        <f t="shared" ca="1" si="96"/>
        <v>355.53689999999995</v>
      </c>
      <c r="M1116" s="5">
        <f t="shared" ca="1" si="96"/>
        <v>142.0401</v>
      </c>
      <c r="N1116" s="5">
        <f t="shared" ca="1" si="96"/>
        <v>58.217499999999994</v>
      </c>
      <c r="O1116" s="5">
        <f t="shared" ca="1" si="96"/>
        <v>4.4046000000000003</v>
      </c>
      <c r="P1116" s="5">
        <f t="shared" ca="1" si="96"/>
        <v>14.707600000000001</v>
      </c>
      <c r="Q1116" s="5">
        <f t="shared" ca="1" si="96"/>
        <v>231.81149999999997</v>
      </c>
      <c r="R1116" s="4"/>
      <c r="S1116" s="4"/>
    </row>
    <row r="1117" spans="1:19" ht="15" customHeight="1">
      <c r="A1117" s="3">
        <f t="shared" si="94"/>
        <v>2082</v>
      </c>
      <c r="B1117" s="4">
        <f t="shared" ref="B1117:J1126" ca="1" si="97">AVERAGE(OFFSET(B$581,($A1117-$A$1097)*12,0,12,1))</f>
        <v>39.233225000000004</v>
      </c>
      <c r="C1117" s="4">
        <f t="shared" ca="1" si="97"/>
        <v>39.239608333333329</v>
      </c>
      <c r="D1117" s="4">
        <f t="shared" ca="1" si="97"/>
        <v>39.249124999999999</v>
      </c>
      <c r="E1117" s="4">
        <f t="shared" ca="1" si="97"/>
        <v>39.245016666666665</v>
      </c>
      <c r="F1117" s="4">
        <f t="shared" ca="1" si="97"/>
        <v>39.920075000000004</v>
      </c>
      <c r="G1117" s="4">
        <f t="shared" ca="1" si="97"/>
        <v>38.306991666666669</v>
      </c>
      <c r="H1117" s="4">
        <f t="shared" ca="1" si="97"/>
        <v>39.224858333333337</v>
      </c>
      <c r="I1117" s="4">
        <f t="shared" ca="1" si="97"/>
        <v>37.782266666666665</v>
      </c>
      <c r="J1117" s="4">
        <f t="shared" ca="1" si="97"/>
        <v>37.639700000000005</v>
      </c>
      <c r="K1117" s="4"/>
      <c r="L1117" s="5">
        <f t="shared" ref="L1117:Q1126" ca="1" si="98">SUM(OFFSET(L$581,($A1117-$A$1097)*12,0,12,1))</f>
        <v>355.53689999999995</v>
      </c>
      <c r="M1117" s="5">
        <f t="shared" ca="1" si="98"/>
        <v>142.0401</v>
      </c>
      <c r="N1117" s="5">
        <f t="shared" ca="1" si="98"/>
        <v>58.217499999999994</v>
      </c>
      <c r="O1117" s="5">
        <f t="shared" ca="1" si="98"/>
        <v>4.4046000000000003</v>
      </c>
      <c r="P1117" s="5">
        <f t="shared" ca="1" si="98"/>
        <v>14.707600000000001</v>
      </c>
      <c r="Q1117" s="5">
        <f t="shared" ca="1" si="98"/>
        <v>231.81149999999997</v>
      </c>
      <c r="R1117" s="4"/>
      <c r="S1117" s="4"/>
    </row>
    <row r="1118" spans="1:19" ht="15" customHeight="1">
      <c r="A1118" s="3">
        <f t="shared" si="94"/>
        <v>2083</v>
      </c>
      <c r="B1118" s="4">
        <f t="shared" ca="1" si="97"/>
        <v>40.515258333333328</v>
      </c>
      <c r="C1118" s="4">
        <f t="shared" ca="1" si="97"/>
        <v>40.52164166666666</v>
      </c>
      <c r="D1118" s="4">
        <f t="shared" ca="1" si="97"/>
        <v>40.531158333333337</v>
      </c>
      <c r="E1118" s="4">
        <f t="shared" ca="1" si="97"/>
        <v>40.527049999999996</v>
      </c>
      <c r="F1118" s="4">
        <f t="shared" ca="1" si="97"/>
        <v>41.202116666666669</v>
      </c>
      <c r="G1118" s="4">
        <f t="shared" ca="1" si="97"/>
        <v>39.559150000000002</v>
      </c>
      <c r="H1118" s="4">
        <f t="shared" ca="1" si="97"/>
        <v>40.477033333333331</v>
      </c>
      <c r="I1118" s="4">
        <f t="shared" ca="1" si="97"/>
        <v>39.013766666666669</v>
      </c>
      <c r="J1118" s="4">
        <f t="shared" ca="1" si="97"/>
        <v>38.870575000000002</v>
      </c>
      <c r="K1118" s="4"/>
      <c r="L1118" s="5">
        <f t="shared" ca="1" si="98"/>
        <v>355.53689999999995</v>
      </c>
      <c r="M1118" s="5">
        <f t="shared" ca="1" si="98"/>
        <v>142.0401</v>
      </c>
      <c r="N1118" s="5">
        <f t="shared" ca="1" si="98"/>
        <v>58.217499999999994</v>
      </c>
      <c r="O1118" s="5">
        <f t="shared" ca="1" si="98"/>
        <v>4.4046000000000003</v>
      </c>
      <c r="P1118" s="5">
        <f t="shared" ca="1" si="98"/>
        <v>14.707600000000001</v>
      </c>
      <c r="Q1118" s="5">
        <f t="shared" ca="1" si="98"/>
        <v>231.81149999999997</v>
      </c>
      <c r="R1118" s="4"/>
      <c r="S1118" s="4"/>
    </row>
    <row r="1119" spans="1:19" ht="15" customHeight="1">
      <c r="A1119" s="3">
        <f t="shared" si="94"/>
        <v>2084</v>
      </c>
      <c r="B1119" s="4">
        <f t="shared" ca="1" si="97"/>
        <v>41.839233333333333</v>
      </c>
      <c r="C1119" s="4">
        <f t="shared" ca="1" si="97"/>
        <v>41.845591666666671</v>
      </c>
      <c r="D1119" s="4">
        <f t="shared" ca="1" si="97"/>
        <v>41.855133333333335</v>
      </c>
      <c r="E1119" s="4">
        <f t="shared" ca="1" si="97"/>
        <v>41.851033333333341</v>
      </c>
      <c r="F1119" s="4">
        <f t="shared" ca="1" si="97"/>
        <v>42.526074999999999</v>
      </c>
      <c r="G1119" s="4">
        <f t="shared" ca="1" si="97"/>
        <v>40.852266666666665</v>
      </c>
      <c r="H1119" s="4">
        <f t="shared" ca="1" si="97"/>
        <v>41.770150000000001</v>
      </c>
      <c r="I1119" s="4">
        <f t="shared" ca="1" si="97"/>
        <v>40.285550000000001</v>
      </c>
      <c r="J1119" s="4">
        <f t="shared" ca="1" si="97"/>
        <v>40.141733333333327</v>
      </c>
      <c r="K1119" s="4"/>
      <c r="L1119" s="5">
        <f t="shared" ca="1" si="98"/>
        <v>356.48229999999995</v>
      </c>
      <c r="M1119" s="5">
        <f t="shared" ca="1" si="98"/>
        <v>142.42920000000001</v>
      </c>
      <c r="N1119" s="5">
        <f t="shared" ca="1" si="98"/>
        <v>58.377000000000002</v>
      </c>
      <c r="O1119" s="5">
        <f t="shared" ca="1" si="98"/>
        <v>4.4165999999999999</v>
      </c>
      <c r="P1119" s="5">
        <f t="shared" ca="1" si="98"/>
        <v>14.7493</v>
      </c>
      <c r="Q1119" s="5">
        <f t="shared" ca="1" si="98"/>
        <v>232.44659999999996</v>
      </c>
      <c r="R1119" s="4"/>
      <c r="S1119" s="4"/>
    </row>
    <row r="1120" spans="1:19" ht="15" customHeight="1">
      <c r="A1120" s="3">
        <f t="shared" si="94"/>
        <v>2085</v>
      </c>
      <c r="B1120" s="4">
        <f t="shared" ca="1" si="97"/>
        <v>43.206491666666665</v>
      </c>
      <c r="C1120" s="4">
        <f t="shared" ca="1" si="97"/>
        <v>43.212874999999997</v>
      </c>
      <c r="D1120" s="4">
        <f t="shared" ca="1" si="97"/>
        <v>43.222383333333333</v>
      </c>
      <c r="E1120" s="4">
        <f t="shared" ca="1" si="97"/>
        <v>43.218275000000006</v>
      </c>
      <c r="F1120" s="4">
        <f t="shared" ca="1" si="97"/>
        <v>43.893341666666657</v>
      </c>
      <c r="G1120" s="4">
        <f t="shared" ca="1" si="97"/>
        <v>42.187683333333332</v>
      </c>
      <c r="H1120" s="4">
        <f t="shared" ca="1" si="97"/>
        <v>43.105558333333335</v>
      </c>
      <c r="I1120" s="4">
        <f t="shared" ca="1" si="97"/>
        <v>41.598925000000001</v>
      </c>
      <c r="J1120" s="4">
        <f t="shared" ca="1" si="97"/>
        <v>41.454433333333334</v>
      </c>
      <c r="K1120" s="4"/>
      <c r="L1120" s="5">
        <f t="shared" ca="1" si="98"/>
        <v>355.53689999999995</v>
      </c>
      <c r="M1120" s="5">
        <f t="shared" ca="1" si="98"/>
        <v>142.0401</v>
      </c>
      <c r="N1120" s="5">
        <f t="shared" ca="1" si="98"/>
        <v>58.217499999999994</v>
      </c>
      <c r="O1120" s="5">
        <f t="shared" ca="1" si="98"/>
        <v>4.4046000000000003</v>
      </c>
      <c r="P1120" s="5">
        <f t="shared" ca="1" si="98"/>
        <v>14.707600000000001</v>
      </c>
      <c r="Q1120" s="5">
        <f t="shared" ca="1" si="98"/>
        <v>231.81149999999997</v>
      </c>
      <c r="R1120" s="4"/>
      <c r="S1120" s="4"/>
    </row>
    <row r="1121" spans="1:19" ht="15" customHeight="1">
      <c r="A1121" s="3">
        <f t="shared" si="94"/>
        <v>2086</v>
      </c>
      <c r="B1121" s="4">
        <f t="shared" ca="1" si="97"/>
        <v>44.618491666666664</v>
      </c>
      <c r="C1121" s="4">
        <f t="shared" ca="1" si="97"/>
        <v>44.624858333333329</v>
      </c>
      <c r="D1121" s="4">
        <f t="shared" ca="1" si="97"/>
        <v>44.634358333333331</v>
      </c>
      <c r="E1121" s="4">
        <f t="shared" ca="1" si="97"/>
        <v>44.630258333333337</v>
      </c>
      <c r="F1121" s="4">
        <f t="shared" ca="1" si="97"/>
        <v>45.30533333333333</v>
      </c>
      <c r="G1121" s="4">
        <f t="shared" ca="1" si="97"/>
        <v>43.566758333333325</v>
      </c>
      <c r="H1121" s="4">
        <f t="shared" ca="1" si="97"/>
        <v>44.484649999999995</v>
      </c>
      <c r="I1121" s="4">
        <f t="shared" ca="1" si="97"/>
        <v>42.955225000000006</v>
      </c>
      <c r="J1121" s="4">
        <f t="shared" ca="1" si="97"/>
        <v>42.810058333333338</v>
      </c>
      <c r="K1121" s="4"/>
      <c r="L1121" s="5">
        <f t="shared" ca="1" si="98"/>
        <v>355.53689999999995</v>
      </c>
      <c r="M1121" s="5">
        <f t="shared" ca="1" si="98"/>
        <v>142.0401</v>
      </c>
      <c r="N1121" s="5">
        <f t="shared" ca="1" si="98"/>
        <v>58.217499999999994</v>
      </c>
      <c r="O1121" s="5">
        <f t="shared" ca="1" si="98"/>
        <v>4.4046000000000003</v>
      </c>
      <c r="P1121" s="5">
        <f t="shared" ca="1" si="98"/>
        <v>14.707600000000001</v>
      </c>
      <c r="Q1121" s="5">
        <f t="shared" ca="1" si="98"/>
        <v>231.81149999999997</v>
      </c>
      <c r="R1121" s="4"/>
      <c r="S1121" s="4"/>
    </row>
    <row r="1122" spans="1:19" ht="15" customHeight="1">
      <c r="A1122" s="3">
        <f t="shared" si="94"/>
        <v>2087</v>
      </c>
      <c r="B1122" s="4">
        <f t="shared" ca="1" si="97"/>
        <v>46.076625</v>
      </c>
      <c r="C1122" s="4">
        <f t="shared" ca="1" si="97"/>
        <v>46.082991666666665</v>
      </c>
      <c r="D1122" s="4">
        <f t="shared" ca="1" si="97"/>
        <v>46.092508333333335</v>
      </c>
      <c r="E1122" s="4">
        <f t="shared" ca="1" si="97"/>
        <v>46.088408333333341</v>
      </c>
      <c r="F1122" s="4">
        <f t="shared" ca="1" si="97"/>
        <v>46.763475000000007</v>
      </c>
      <c r="G1122" s="4">
        <f t="shared" ca="1" si="97"/>
        <v>44.990958333333332</v>
      </c>
      <c r="H1122" s="4">
        <f t="shared" ca="1" si="97"/>
        <v>45.908816666666667</v>
      </c>
      <c r="I1122" s="4">
        <f t="shared" ca="1" si="97"/>
        <v>44.355908333333332</v>
      </c>
      <c r="J1122" s="4">
        <f t="shared" ca="1" si="97"/>
        <v>44.210050000000003</v>
      </c>
      <c r="K1122" s="4"/>
      <c r="L1122" s="5">
        <f t="shared" ca="1" si="98"/>
        <v>355.53689999999995</v>
      </c>
      <c r="M1122" s="5">
        <f t="shared" ca="1" si="98"/>
        <v>142.0401</v>
      </c>
      <c r="N1122" s="5">
        <f t="shared" ca="1" si="98"/>
        <v>58.217499999999994</v>
      </c>
      <c r="O1122" s="5">
        <f t="shared" ca="1" si="98"/>
        <v>4.4046000000000003</v>
      </c>
      <c r="P1122" s="5">
        <f t="shared" ca="1" si="98"/>
        <v>14.707600000000001</v>
      </c>
      <c r="Q1122" s="5">
        <f t="shared" ca="1" si="98"/>
        <v>231.81149999999997</v>
      </c>
      <c r="R1122" s="4"/>
      <c r="S1122" s="4"/>
    </row>
    <row r="1123" spans="1:19" ht="15" customHeight="1">
      <c r="A1123" s="3">
        <f t="shared" si="94"/>
        <v>2088</v>
      </c>
      <c r="B1123" s="4">
        <f t="shared" ca="1" si="97"/>
        <v>47.582483333333329</v>
      </c>
      <c r="C1123" s="4">
        <f t="shared" ca="1" si="97"/>
        <v>47.588841666666667</v>
      </c>
      <c r="D1123" s="4">
        <f t="shared" ca="1" si="97"/>
        <v>47.598350000000003</v>
      </c>
      <c r="E1123" s="4">
        <f t="shared" ca="1" si="97"/>
        <v>47.594241666666669</v>
      </c>
      <c r="F1123" s="4">
        <f t="shared" ca="1" si="97"/>
        <v>48.269325000000002</v>
      </c>
      <c r="G1123" s="4">
        <f t="shared" ca="1" si="97"/>
        <v>46.461716666666668</v>
      </c>
      <c r="H1123" s="4">
        <f t="shared" ca="1" si="97"/>
        <v>47.37960833333333</v>
      </c>
      <c r="I1123" s="4">
        <f t="shared" ca="1" si="97"/>
        <v>45.802391666666665</v>
      </c>
      <c r="J1123" s="4">
        <f t="shared" ca="1" si="97"/>
        <v>45.655808333333333</v>
      </c>
      <c r="K1123" s="4"/>
      <c r="L1123" s="5">
        <f t="shared" ca="1" si="98"/>
        <v>356.48229999999995</v>
      </c>
      <c r="M1123" s="5">
        <f t="shared" ca="1" si="98"/>
        <v>142.42920000000001</v>
      </c>
      <c r="N1123" s="5">
        <f t="shared" ca="1" si="98"/>
        <v>58.377000000000002</v>
      </c>
      <c r="O1123" s="5">
        <f t="shared" ca="1" si="98"/>
        <v>4.4165999999999999</v>
      </c>
      <c r="P1123" s="5">
        <f t="shared" ca="1" si="98"/>
        <v>14.7493</v>
      </c>
      <c r="Q1123" s="5">
        <f t="shared" ca="1" si="98"/>
        <v>232.44659999999996</v>
      </c>
      <c r="R1123" s="4"/>
      <c r="S1123" s="4"/>
    </row>
    <row r="1124" spans="1:19" ht="15" customHeight="1">
      <c r="A1124" s="3">
        <f t="shared" si="94"/>
        <v>2089</v>
      </c>
      <c r="B1124" s="4">
        <f t="shared" ca="1" si="97"/>
        <v>49.137566666666679</v>
      </c>
      <c r="C1124" s="4">
        <f t="shared" ca="1" si="97"/>
        <v>49.143933333333337</v>
      </c>
      <c r="D1124" s="4">
        <f t="shared" ca="1" si="97"/>
        <v>49.153449999999999</v>
      </c>
      <c r="E1124" s="4">
        <f t="shared" ca="1" si="97"/>
        <v>49.149341666666679</v>
      </c>
      <c r="F1124" s="4">
        <f t="shared" ca="1" si="97"/>
        <v>49.824416666666671</v>
      </c>
      <c r="G1124" s="4">
        <f t="shared" ca="1" si="97"/>
        <v>47.980591666666676</v>
      </c>
      <c r="H1124" s="4">
        <f t="shared" ca="1" si="97"/>
        <v>48.898483333333338</v>
      </c>
      <c r="I1124" s="4">
        <f t="shared" ca="1" si="97"/>
        <v>47.296183333333339</v>
      </c>
      <c r="J1124" s="4">
        <f t="shared" ca="1" si="97"/>
        <v>47.148833333333322</v>
      </c>
      <c r="K1124" s="4"/>
      <c r="L1124" s="5">
        <f t="shared" ca="1" si="98"/>
        <v>355.53689999999995</v>
      </c>
      <c r="M1124" s="5">
        <f t="shared" ca="1" si="98"/>
        <v>142.0401</v>
      </c>
      <c r="N1124" s="5">
        <f t="shared" ca="1" si="98"/>
        <v>58.217499999999994</v>
      </c>
      <c r="O1124" s="5">
        <f t="shared" ca="1" si="98"/>
        <v>4.4046000000000003</v>
      </c>
      <c r="P1124" s="5">
        <f t="shared" ca="1" si="98"/>
        <v>14.707600000000001</v>
      </c>
      <c r="Q1124" s="5">
        <f t="shared" ca="1" si="98"/>
        <v>231.81149999999997</v>
      </c>
      <c r="R1124" s="4"/>
      <c r="S1124" s="4"/>
    </row>
    <row r="1125" spans="1:19" ht="15" customHeight="1">
      <c r="A1125" s="3">
        <f t="shared" si="94"/>
        <v>2090</v>
      </c>
      <c r="B1125" s="4">
        <f t="shared" ca="1" si="97"/>
        <v>50.743491666666671</v>
      </c>
      <c r="C1125" s="4">
        <f t="shared" ca="1" si="97"/>
        <v>50.749866666666669</v>
      </c>
      <c r="D1125" s="4">
        <f t="shared" ca="1" si="97"/>
        <v>50.759383333333339</v>
      </c>
      <c r="E1125" s="4">
        <f t="shared" ca="1" si="97"/>
        <v>50.755283333333331</v>
      </c>
      <c r="F1125" s="4">
        <f t="shared" ca="1" si="97"/>
        <v>51.430358333333324</v>
      </c>
      <c r="G1125" s="4">
        <f t="shared" ca="1" si="97"/>
        <v>49.54911666666667</v>
      </c>
      <c r="H1125" s="4">
        <f t="shared" ca="1" si="97"/>
        <v>50.466991666666665</v>
      </c>
      <c r="I1125" s="4">
        <f t="shared" ca="1" si="97"/>
        <v>48.838824999999993</v>
      </c>
      <c r="J1125" s="4">
        <f t="shared" ca="1" si="97"/>
        <v>48.690724999999993</v>
      </c>
      <c r="K1125" s="4"/>
      <c r="L1125" s="5">
        <f t="shared" ca="1" si="98"/>
        <v>355.53689999999995</v>
      </c>
      <c r="M1125" s="5">
        <f t="shared" ca="1" si="98"/>
        <v>142.0401</v>
      </c>
      <c r="N1125" s="5">
        <f t="shared" ca="1" si="98"/>
        <v>58.217499999999994</v>
      </c>
      <c r="O1125" s="5">
        <f t="shared" ca="1" si="98"/>
        <v>4.4046000000000003</v>
      </c>
      <c r="P1125" s="5">
        <f t="shared" ca="1" si="98"/>
        <v>14.707600000000001</v>
      </c>
      <c r="Q1125" s="5">
        <f t="shared" ca="1" si="98"/>
        <v>231.81149999999997</v>
      </c>
      <c r="R1125" s="4"/>
      <c r="S1125" s="4"/>
    </row>
    <row r="1126" spans="1:19" ht="15" customHeight="1">
      <c r="A1126" s="3">
        <f t="shared" si="94"/>
        <v>2091</v>
      </c>
      <c r="B1126" s="4">
        <f t="shared" ca="1" si="97"/>
        <v>52.401983333333334</v>
      </c>
      <c r="C1126" s="4">
        <f t="shared" ca="1" si="97"/>
        <v>52.408358333333325</v>
      </c>
      <c r="D1126" s="4">
        <f t="shared" ca="1" si="97"/>
        <v>52.417858333333328</v>
      </c>
      <c r="E1126" s="4">
        <f t="shared" ca="1" si="97"/>
        <v>52.41375</v>
      </c>
      <c r="F1126" s="4">
        <f t="shared" ca="1" si="97"/>
        <v>53.088825000000007</v>
      </c>
      <c r="G1126" s="4">
        <f t="shared" ca="1" si="97"/>
        <v>51.168941666666662</v>
      </c>
      <c r="H1126" s="4">
        <f t="shared" ca="1" si="97"/>
        <v>52.086833333333338</v>
      </c>
      <c r="I1126" s="4">
        <f t="shared" ca="1" si="97"/>
        <v>50.431916666666666</v>
      </c>
      <c r="J1126" s="4">
        <f t="shared" ca="1" si="97"/>
        <v>50.283008333333328</v>
      </c>
      <c r="K1126" s="4"/>
      <c r="L1126" s="5">
        <f t="shared" ca="1" si="98"/>
        <v>355.53689999999995</v>
      </c>
      <c r="M1126" s="5">
        <f t="shared" ca="1" si="98"/>
        <v>142.0401</v>
      </c>
      <c r="N1126" s="5">
        <f t="shared" ca="1" si="98"/>
        <v>58.217499999999994</v>
      </c>
      <c r="O1126" s="5">
        <f t="shared" ca="1" si="98"/>
        <v>4.4046000000000003</v>
      </c>
      <c r="P1126" s="5">
        <f t="shared" ca="1" si="98"/>
        <v>14.707600000000001</v>
      </c>
      <c r="Q1126" s="5">
        <f t="shared" ca="1" si="98"/>
        <v>231.81149999999997</v>
      </c>
      <c r="R1126" s="4"/>
      <c r="S1126" s="4"/>
    </row>
    <row r="1127" spans="1:19" ht="15" customHeight="1">
      <c r="A1127" s="3">
        <f t="shared" si="94"/>
        <v>2092</v>
      </c>
      <c r="B1127" s="4">
        <f t="shared" ref="B1127:J1135" ca="1" si="99">AVERAGE(OFFSET(B$581,($A1127-$A$1097)*12,0,12,1))</f>
        <v>54.114691666666666</v>
      </c>
      <c r="C1127" s="4">
        <f t="shared" ca="1" si="99"/>
        <v>54.121049999999997</v>
      </c>
      <c r="D1127" s="4">
        <f t="shared" ca="1" si="99"/>
        <v>54.130575</v>
      </c>
      <c r="E1127" s="4">
        <f t="shared" ca="1" si="99"/>
        <v>54.126466666666666</v>
      </c>
      <c r="F1127" s="4">
        <f t="shared" ca="1" si="99"/>
        <v>54.801533333333332</v>
      </c>
      <c r="G1127" s="4">
        <f t="shared" ca="1" si="99"/>
        <v>52.841750000000012</v>
      </c>
      <c r="H1127" s="4">
        <f t="shared" ca="1" si="99"/>
        <v>53.759633333333333</v>
      </c>
      <c r="I1127" s="4">
        <f t="shared" ca="1" si="99"/>
        <v>52.077108333333335</v>
      </c>
      <c r="J1127" s="4">
        <f t="shared" ca="1" si="99"/>
        <v>51.927400000000006</v>
      </c>
      <c r="K1127" s="4"/>
      <c r="L1127" s="5">
        <f t="shared" ref="L1127:Q1135" ca="1" si="100">SUM(OFFSET(L$581,($A1127-$A$1097)*12,0,12,1))</f>
        <v>356.48229999999995</v>
      </c>
      <c r="M1127" s="5">
        <f t="shared" ca="1" si="100"/>
        <v>142.42920000000001</v>
      </c>
      <c r="N1127" s="5">
        <f t="shared" ca="1" si="100"/>
        <v>58.377000000000002</v>
      </c>
      <c r="O1127" s="5">
        <f t="shared" ca="1" si="100"/>
        <v>4.4165999999999999</v>
      </c>
      <c r="P1127" s="5">
        <f t="shared" ca="1" si="100"/>
        <v>14.7493</v>
      </c>
      <c r="Q1127" s="5">
        <f t="shared" ca="1" si="100"/>
        <v>232.44659999999996</v>
      </c>
      <c r="R1127" s="4"/>
      <c r="S1127" s="4"/>
    </row>
    <row r="1128" spans="1:19" ht="15" customHeight="1">
      <c r="A1128" s="3">
        <f t="shared" si="94"/>
        <v>2093</v>
      </c>
      <c r="B1128" s="4">
        <f t="shared" ca="1" si="99"/>
        <v>55.883391666666675</v>
      </c>
      <c r="C1128" s="4">
        <f t="shared" ca="1" si="99"/>
        <v>55.889774999999993</v>
      </c>
      <c r="D1128" s="4">
        <f t="shared" ca="1" si="99"/>
        <v>55.89929999999999</v>
      </c>
      <c r="E1128" s="4">
        <f t="shared" ca="1" si="99"/>
        <v>55.895191666666669</v>
      </c>
      <c r="F1128" s="4">
        <f t="shared" ca="1" si="99"/>
        <v>56.570241666666668</v>
      </c>
      <c r="G1128" s="4">
        <f t="shared" ca="1" si="99"/>
        <v>54.56925833333333</v>
      </c>
      <c r="H1128" s="4">
        <f t="shared" ca="1" si="99"/>
        <v>55.487150000000007</v>
      </c>
      <c r="I1128" s="4">
        <f t="shared" ca="1" si="99"/>
        <v>53.776108333333333</v>
      </c>
      <c r="J1128" s="4">
        <f t="shared" ca="1" si="99"/>
        <v>53.625541666666663</v>
      </c>
      <c r="K1128" s="4"/>
      <c r="L1128" s="5">
        <f t="shared" ca="1" si="100"/>
        <v>355.53689999999995</v>
      </c>
      <c r="M1128" s="5">
        <f t="shared" ca="1" si="100"/>
        <v>142.0401</v>
      </c>
      <c r="N1128" s="5">
        <f t="shared" ca="1" si="100"/>
        <v>58.217499999999994</v>
      </c>
      <c r="O1128" s="5">
        <f t="shared" ca="1" si="100"/>
        <v>4.4046000000000003</v>
      </c>
      <c r="P1128" s="5">
        <f t="shared" ca="1" si="100"/>
        <v>14.707600000000001</v>
      </c>
      <c r="Q1128" s="5">
        <f t="shared" ca="1" si="100"/>
        <v>231.81149999999997</v>
      </c>
      <c r="R1128" s="4"/>
      <c r="S1128" s="4"/>
    </row>
    <row r="1129" spans="1:19" ht="15" customHeight="1">
      <c r="A1129" s="3">
        <f t="shared" si="94"/>
        <v>2094</v>
      </c>
      <c r="B1129" s="4">
        <f t="shared" ca="1" si="99"/>
        <v>57.709983333333334</v>
      </c>
      <c r="C1129" s="4">
        <f t="shared" ca="1" si="99"/>
        <v>57.716333333333331</v>
      </c>
      <c r="D1129" s="4">
        <f t="shared" ca="1" si="99"/>
        <v>57.725850000000001</v>
      </c>
      <c r="E1129" s="4">
        <f t="shared" ca="1" si="99"/>
        <v>57.721749999999986</v>
      </c>
      <c r="F1129" s="4">
        <f t="shared" ca="1" si="99"/>
        <v>58.396816666666666</v>
      </c>
      <c r="G1129" s="4">
        <f t="shared" ca="1" si="99"/>
        <v>56.353274999999996</v>
      </c>
      <c r="H1129" s="4">
        <f t="shared" ca="1" si="99"/>
        <v>57.271150000000006</v>
      </c>
      <c r="I1129" s="4">
        <f t="shared" ca="1" si="99"/>
        <v>55.530658333333328</v>
      </c>
      <c r="J1129" s="4">
        <f t="shared" ca="1" si="99"/>
        <v>55.379199999999997</v>
      </c>
      <c r="K1129" s="4"/>
      <c r="L1129" s="5">
        <f t="shared" ca="1" si="100"/>
        <v>355.53689999999995</v>
      </c>
      <c r="M1129" s="5">
        <f t="shared" ca="1" si="100"/>
        <v>142.0401</v>
      </c>
      <c r="N1129" s="5">
        <f t="shared" ca="1" si="100"/>
        <v>58.217499999999994</v>
      </c>
      <c r="O1129" s="5">
        <f t="shared" ca="1" si="100"/>
        <v>4.4046000000000003</v>
      </c>
      <c r="P1129" s="5">
        <f t="shared" ca="1" si="100"/>
        <v>14.707600000000001</v>
      </c>
      <c r="Q1129" s="5">
        <f t="shared" ca="1" si="100"/>
        <v>231.81149999999997</v>
      </c>
      <c r="R1129" s="4"/>
      <c r="S1129" s="4"/>
    </row>
    <row r="1130" spans="1:19" ht="15" customHeight="1">
      <c r="A1130" s="3">
        <f t="shared" si="94"/>
        <v>2095</v>
      </c>
      <c r="B1130" s="4">
        <f t="shared" ca="1" si="99"/>
        <v>59.596241666666664</v>
      </c>
      <c r="C1130" s="4">
        <f t="shared" ca="1" si="99"/>
        <v>59.602624999999989</v>
      </c>
      <c r="D1130" s="4">
        <f t="shared" ca="1" si="99"/>
        <v>59.612141666666666</v>
      </c>
      <c r="E1130" s="4">
        <f t="shared" ca="1" si="99"/>
        <v>59.608024999999998</v>
      </c>
      <c r="F1130" s="4">
        <f t="shared" ca="1" si="99"/>
        <v>60.283108333333331</v>
      </c>
      <c r="G1130" s="4">
        <f t="shared" ca="1" si="99"/>
        <v>58.195625000000007</v>
      </c>
      <c r="H1130" s="4">
        <f t="shared" ca="1" si="99"/>
        <v>59.113508333333328</v>
      </c>
      <c r="I1130" s="4">
        <f t="shared" ca="1" si="99"/>
        <v>57.342591666666664</v>
      </c>
      <c r="J1130" s="4">
        <f t="shared" ca="1" si="99"/>
        <v>57.190233333333346</v>
      </c>
      <c r="K1130" s="4"/>
      <c r="L1130" s="5">
        <f t="shared" ca="1" si="100"/>
        <v>355.53689999999995</v>
      </c>
      <c r="M1130" s="5">
        <f t="shared" ca="1" si="100"/>
        <v>142.0401</v>
      </c>
      <c r="N1130" s="5">
        <f t="shared" ca="1" si="100"/>
        <v>58.217499999999994</v>
      </c>
      <c r="O1130" s="5">
        <f t="shared" ca="1" si="100"/>
        <v>4.4046000000000003</v>
      </c>
      <c r="P1130" s="5">
        <f t="shared" ca="1" si="100"/>
        <v>14.707600000000001</v>
      </c>
      <c r="Q1130" s="5">
        <f t="shared" ca="1" si="100"/>
        <v>231.81149999999997</v>
      </c>
      <c r="R1130" s="4"/>
      <c r="S1130" s="4"/>
    </row>
    <row r="1131" spans="1:19" ht="15" customHeight="1">
      <c r="A1131" s="3">
        <f t="shared" si="94"/>
        <v>2096</v>
      </c>
      <c r="B1131" s="4">
        <f t="shared" ca="1" si="99"/>
        <v>61.544233333333331</v>
      </c>
      <c r="C1131" s="4">
        <f t="shared" ca="1" si="99"/>
        <v>61.550608333333344</v>
      </c>
      <c r="D1131" s="4">
        <f t="shared" ca="1" si="99"/>
        <v>61.56015</v>
      </c>
      <c r="E1131" s="4">
        <f t="shared" ca="1" si="99"/>
        <v>61.556041666666665</v>
      </c>
      <c r="F1131" s="4">
        <f t="shared" ca="1" si="99"/>
        <v>62.231099999999998</v>
      </c>
      <c r="G1131" s="4">
        <f t="shared" ca="1" si="99"/>
        <v>60.098224999999992</v>
      </c>
      <c r="H1131" s="4">
        <f t="shared" ca="1" si="99"/>
        <v>61.016116666666669</v>
      </c>
      <c r="I1131" s="4">
        <f t="shared" ca="1" si="99"/>
        <v>59.213808333333326</v>
      </c>
      <c r="J1131" s="4">
        <f t="shared" ca="1" si="99"/>
        <v>59.06049999999999</v>
      </c>
      <c r="K1131" s="4"/>
      <c r="L1131" s="5">
        <f t="shared" ca="1" si="100"/>
        <v>356.48229999999995</v>
      </c>
      <c r="M1131" s="5">
        <f t="shared" ca="1" si="100"/>
        <v>142.42920000000001</v>
      </c>
      <c r="N1131" s="5">
        <f t="shared" ca="1" si="100"/>
        <v>58.377000000000002</v>
      </c>
      <c r="O1131" s="5">
        <f t="shared" ca="1" si="100"/>
        <v>4.4165999999999999</v>
      </c>
      <c r="P1131" s="5">
        <f t="shared" ca="1" si="100"/>
        <v>14.7493</v>
      </c>
      <c r="Q1131" s="5">
        <f t="shared" ca="1" si="100"/>
        <v>232.44659999999996</v>
      </c>
      <c r="R1131" s="4"/>
      <c r="S1131" s="4"/>
    </row>
    <row r="1132" spans="1:19" ht="15" customHeight="1">
      <c r="A1132" s="3">
        <f t="shared" si="94"/>
        <v>2097</v>
      </c>
      <c r="B1132" s="4">
        <f t="shared" ca="1" si="99"/>
        <v>63.555933333333336</v>
      </c>
      <c r="C1132" s="4">
        <f t="shared" ca="1" si="99"/>
        <v>63.562308333333334</v>
      </c>
      <c r="D1132" s="4">
        <f t="shared" ca="1" si="99"/>
        <v>63.571825000000011</v>
      </c>
      <c r="E1132" s="4">
        <f t="shared" ca="1" si="99"/>
        <v>63.567716666666662</v>
      </c>
      <c r="F1132" s="4">
        <f t="shared" ca="1" si="99"/>
        <v>64.242791666666662</v>
      </c>
      <c r="G1132" s="4">
        <f t="shared" ca="1" si="99"/>
        <v>62.063041666666663</v>
      </c>
      <c r="H1132" s="4">
        <f t="shared" ca="1" si="99"/>
        <v>62.98095</v>
      </c>
      <c r="I1132" s="4">
        <f t="shared" ca="1" si="99"/>
        <v>61.14619166666666</v>
      </c>
      <c r="J1132" s="4">
        <f t="shared" ca="1" si="99"/>
        <v>60.991925000000002</v>
      </c>
      <c r="K1132" s="4"/>
      <c r="L1132" s="5">
        <f t="shared" ca="1" si="100"/>
        <v>355.53689999999995</v>
      </c>
      <c r="M1132" s="5">
        <f t="shared" ca="1" si="100"/>
        <v>142.0401</v>
      </c>
      <c r="N1132" s="5">
        <f t="shared" ca="1" si="100"/>
        <v>58.217499999999994</v>
      </c>
      <c r="O1132" s="5">
        <f t="shared" ca="1" si="100"/>
        <v>4.4046000000000003</v>
      </c>
      <c r="P1132" s="5">
        <f t="shared" ca="1" si="100"/>
        <v>14.707600000000001</v>
      </c>
      <c r="Q1132" s="5">
        <f t="shared" ca="1" si="100"/>
        <v>231.81149999999997</v>
      </c>
      <c r="R1132" s="4"/>
      <c r="S1132" s="4"/>
    </row>
    <row r="1133" spans="1:19" ht="15" customHeight="1">
      <c r="A1133" s="3">
        <f t="shared" si="94"/>
        <v>2098</v>
      </c>
      <c r="B1133" s="4">
        <f t="shared" ca="1" si="99"/>
        <v>65.633416666666676</v>
      </c>
      <c r="C1133" s="4">
        <f t="shared" ca="1" si="99"/>
        <v>65.639791666666667</v>
      </c>
      <c r="D1133" s="4">
        <f t="shared" ca="1" si="99"/>
        <v>65.649308333333337</v>
      </c>
      <c r="E1133" s="4">
        <f t="shared" ca="1" si="99"/>
        <v>65.645208333333329</v>
      </c>
      <c r="F1133" s="4">
        <f t="shared" ca="1" si="99"/>
        <v>66.320266666666654</v>
      </c>
      <c r="G1133" s="4">
        <f t="shared" ca="1" si="99"/>
        <v>64.092133333333337</v>
      </c>
      <c r="H1133" s="4">
        <f t="shared" ca="1" si="99"/>
        <v>65.010016666666672</v>
      </c>
      <c r="I1133" s="4">
        <f t="shared" ca="1" si="99"/>
        <v>63.141774999999996</v>
      </c>
      <c r="J1133" s="4">
        <f t="shared" ca="1" si="99"/>
        <v>62.986516666666667</v>
      </c>
      <c r="K1133" s="4"/>
      <c r="L1133" s="5">
        <f t="shared" ca="1" si="100"/>
        <v>355.53689999999995</v>
      </c>
      <c r="M1133" s="5">
        <f t="shared" ca="1" si="100"/>
        <v>142.0401</v>
      </c>
      <c r="N1133" s="5">
        <f t="shared" ca="1" si="100"/>
        <v>58.217499999999994</v>
      </c>
      <c r="O1133" s="5">
        <f t="shared" ca="1" si="100"/>
        <v>4.4046000000000003</v>
      </c>
      <c r="P1133" s="5">
        <f t="shared" ca="1" si="100"/>
        <v>14.707600000000001</v>
      </c>
      <c r="Q1133" s="5">
        <f t="shared" ca="1" si="100"/>
        <v>231.81149999999997</v>
      </c>
      <c r="R1133" s="4"/>
      <c r="S1133" s="4"/>
    </row>
    <row r="1134" spans="1:19" ht="15" customHeight="1">
      <c r="A1134" s="3">
        <f t="shared" si="94"/>
        <v>2099</v>
      </c>
      <c r="B1134" s="4">
        <f t="shared" ca="1" si="99"/>
        <v>67.778841666666679</v>
      </c>
      <c r="C1134" s="4">
        <f t="shared" ca="1" si="99"/>
        <v>67.785208333333344</v>
      </c>
      <c r="D1134" s="4">
        <f t="shared" ca="1" si="99"/>
        <v>67.79473333333334</v>
      </c>
      <c r="E1134" s="4">
        <f t="shared" ca="1" si="99"/>
        <v>67.790616666666679</v>
      </c>
      <c r="F1134" s="4">
        <f t="shared" ca="1" si="99"/>
        <v>68.465675000000005</v>
      </c>
      <c r="G1134" s="4">
        <f t="shared" ca="1" si="99"/>
        <v>66.187583333333336</v>
      </c>
      <c r="H1134" s="4">
        <f t="shared" ca="1" si="99"/>
        <v>67.105475000000013</v>
      </c>
      <c r="I1134" s="4">
        <f t="shared" ca="1" si="99"/>
        <v>65.202624999999998</v>
      </c>
      <c r="J1134" s="4">
        <f t="shared" ca="1" si="99"/>
        <v>65.04632500000001</v>
      </c>
      <c r="K1134" s="4"/>
      <c r="L1134" s="5">
        <f t="shared" ca="1" si="100"/>
        <v>355.53689999999995</v>
      </c>
      <c r="M1134" s="5">
        <f t="shared" ca="1" si="100"/>
        <v>142.0401</v>
      </c>
      <c r="N1134" s="5">
        <f t="shared" ca="1" si="100"/>
        <v>58.217499999999994</v>
      </c>
      <c r="O1134" s="5">
        <f t="shared" ca="1" si="100"/>
        <v>4.4046000000000003</v>
      </c>
      <c r="P1134" s="5">
        <f t="shared" ca="1" si="100"/>
        <v>14.707600000000001</v>
      </c>
      <c r="Q1134" s="5">
        <f t="shared" ca="1" si="100"/>
        <v>231.81149999999997</v>
      </c>
      <c r="R1134" s="4"/>
      <c r="S1134" s="4"/>
    </row>
    <row r="1135" spans="1:19" ht="15" customHeight="1">
      <c r="A1135" s="3">
        <f t="shared" si="94"/>
        <v>2100</v>
      </c>
      <c r="B1135" s="4">
        <f t="shared" ca="1" si="99"/>
        <v>69.994433333333333</v>
      </c>
      <c r="C1135" s="4">
        <f t="shared" ca="1" si="99"/>
        <v>70.000799999999998</v>
      </c>
      <c r="D1135" s="4">
        <f t="shared" ca="1" si="99"/>
        <v>70.010324999999995</v>
      </c>
      <c r="E1135" s="4">
        <f t="shared" ca="1" si="99"/>
        <v>70.00621666666666</v>
      </c>
      <c r="F1135" s="4">
        <f t="shared" ca="1" si="99"/>
        <v>70.681266666666659</v>
      </c>
      <c r="G1135" s="4">
        <f t="shared" ca="1" si="99"/>
        <v>68.35155833333333</v>
      </c>
      <c r="H1135" s="4">
        <f t="shared" ca="1" si="99"/>
        <v>69.269433333333339</v>
      </c>
      <c r="I1135" s="4">
        <f t="shared" ca="1" si="99"/>
        <v>67.330866666666665</v>
      </c>
      <c r="J1135" s="4">
        <f t="shared" ca="1" si="99"/>
        <v>67.173524999999998</v>
      </c>
      <c r="K1135" s="4"/>
      <c r="L1135" s="5">
        <f t="shared" ca="1" si="100"/>
        <v>355.53689999999995</v>
      </c>
      <c r="M1135" s="5">
        <f t="shared" ca="1" si="100"/>
        <v>142.0401</v>
      </c>
      <c r="N1135" s="5">
        <f t="shared" ca="1" si="100"/>
        <v>58.217499999999994</v>
      </c>
      <c r="O1135" s="5">
        <f t="shared" ca="1" si="100"/>
        <v>4.4046000000000003</v>
      </c>
      <c r="P1135" s="5">
        <f t="shared" ca="1" si="100"/>
        <v>14.707600000000001</v>
      </c>
      <c r="Q1135" s="5">
        <f t="shared" ca="1" si="100"/>
        <v>231.81149999999997</v>
      </c>
      <c r="R1135" s="4"/>
      <c r="S1135" s="4"/>
    </row>
    <row r="1136" spans="1:19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</sheetData>
  <mergeCells count="2">
    <mergeCell ref="L13:S13"/>
    <mergeCell ref="L14:S14"/>
  </mergeCells>
  <pageMargins left="0.25" right="0.25" top="0.5" bottom="0.5" header="0.25" footer="0.25"/>
  <pageSetup paperSize="119" scale="9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171450</xdr:rowOff>
                  </from>
                  <to>
                    <xdr:col>4</xdr:col>
                    <xdr:colOff>533400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171450</xdr:rowOff>
                  </from>
                  <to>
                    <xdr:col>6</xdr:col>
                    <xdr:colOff>257175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55"/>
  <sheetViews>
    <sheetView zoomScale="70" zoomScaleNormal="70" workbookViewId="0">
      <pane xSplit="1" ySplit="16" topLeftCell="B20" activePane="bottomRight" state="frozen"/>
      <selection activeCell="P33" sqref="P33"/>
      <selection pane="topRight" activeCell="P33" sqref="P33"/>
      <selection pane="bottomLeft" activeCell="P33" sqref="P33"/>
      <selection pane="bottomRight" activeCell="I36" sqref="I36:I37"/>
    </sheetView>
  </sheetViews>
  <sheetFormatPr defaultColWidth="7.109375" defaultRowHeight="12.75"/>
  <cols>
    <col min="1" max="1" width="7.5546875" style="33" bestFit="1" customWidth="1"/>
    <col min="2" max="2" width="7.88671875" style="33" customWidth="1"/>
    <col min="3" max="7" width="11.33203125" style="32" customWidth="1"/>
    <col min="8" max="8" width="12.77734375" style="32" bestFit="1" customWidth="1"/>
    <col min="9" max="9" width="13.21875" style="32" customWidth="1"/>
    <col min="10" max="10" width="12.77734375" style="32" customWidth="1"/>
    <col min="11" max="11" width="7.77734375" style="32" customWidth="1"/>
    <col min="12" max="16384" width="7.109375" style="32"/>
  </cols>
  <sheetData>
    <row r="1" spans="1:10" ht="15.75">
      <c r="A1" s="84" t="s">
        <v>64</v>
      </c>
    </row>
    <row r="2" spans="1:10" ht="15.75">
      <c r="A2" s="84" t="s">
        <v>65</v>
      </c>
    </row>
    <row r="3" spans="1:10" ht="15.75">
      <c r="A3" s="84" t="s">
        <v>66</v>
      </c>
    </row>
    <row r="4" spans="1:10" ht="15.75">
      <c r="A4" s="84" t="s">
        <v>67</v>
      </c>
    </row>
    <row r="5" spans="1:10" ht="15.75">
      <c r="A5" s="84" t="s">
        <v>69</v>
      </c>
    </row>
    <row r="6" spans="1:10" ht="15.75">
      <c r="A6" s="84" t="s">
        <v>73</v>
      </c>
    </row>
    <row r="8" spans="1:10" ht="20.25">
      <c r="A8" s="31" t="s">
        <v>35</v>
      </c>
    </row>
    <row r="9" spans="1:10" ht="15.75">
      <c r="A9" s="30" t="s">
        <v>25</v>
      </c>
    </row>
    <row r="11" spans="1:10">
      <c r="A11" s="32"/>
    </row>
    <row r="12" spans="1:10" ht="15.75">
      <c r="A12" s="32"/>
      <c r="B12" s="30"/>
      <c r="C12" s="53"/>
      <c r="I12" s="24"/>
    </row>
    <row r="13" spans="1:10" ht="15.75">
      <c r="A13" s="30"/>
      <c r="B13" s="30"/>
      <c r="C13" s="53"/>
      <c r="I13" s="24"/>
    </row>
    <row r="14" spans="1:10" ht="15.75">
      <c r="A14" s="30"/>
      <c r="C14" s="86" t="s">
        <v>34</v>
      </c>
      <c r="D14" s="86"/>
      <c r="E14" s="86"/>
      <c r="F14" s="52"/>
      <c r="G14" s="51"/>
      <c r="H14" s="50"/>
      <c r="I14" s="49"/>
    </row>
    <row r="15" spans="1:10" ht="97.9" customHeight="1">
      <c r="A15" s="18"/>
      <c r="B15" s="18"/>
      <c r="C15" s="21" t="s">
        <v>20</v>
      </c>
      <c r="D15" s="48" t="s">
        <v>19</v>
      </c>
      <c r="E15" s="21" t="s">
        <v>33</v>
      </c>
      <c r="F15" s="21" t="s">
        <v>32</v>
      </c>
      <c r="G15" s="21" t="s">
        <v>16</v>
      </c>
      <c r="H15" s="47" t="s">
        <v>31</v>
      </c>
      <c r="I15" s="21" t="s">
        <v>30</v>
      </c>
      <c r="J15" s="21" t="s">
        <v>29</v>
      </c>
    </row>
    <row r="16" spans="1:10" ht="15.75">
      <c r="A16" s="20" t="s">
        <v>2</v>
      </c>
      <c r="B16" s="20" t="s">
        <v>28</v>
      </c>
      <c r="C16" s="20" t="s">
        <v>27</v>
      </c>
      <c r="D16" s="20" t="s">
        <v>27</v>
      </c>
      <c r="E16" s="20" t="s">
        <v>27</v>
      </c>
      <c r="F16" s="20" t="s">
        <v>27</v>
      </c>
      <c r="G16" s="20" t="s">
        <v>27</v>
      </c>
      <c r="H16" s="46" t="s">
        <v>27</v>
      </c>
      <c r="I16" s="20" t="s">
        <v>27</v>
      </c>
      <c r="J16" s="20" t="s">
        <v>27</v>
      </c>
    </row>
    <row r="17" spans="1:20" ht="15.75">
      <c r="A17" s="13">
        <v>42005</v>
      </c>
      <c r="B17" s="44">
        <v>31</v>
      </c>
      <c r="C17" s="35">
        <v>122.58</v>
      </c>
      <c r="D17" s="35">
        <v>297.94099999999997</v>
      </c>
      <c r="E17" s="41">
        <v>729.47900000000004</v>
      </c>
      <c r="F17" s="35">
        <v>1150</v>
      </c>
      <c r="G17" s="35">
        <v>100</v>
      </c>
      <c r="H17" s="43"/>
      <c r="I17" s="35">
        <v>695</v>
      </c>
      <c r="J17" s="35">
        <v>50</v>
      </c>
      <c r="K17" s="36"/>
      <c r="L17" s="45"/>
      <c r="M17" s="36"/>
      <c r="N17" s="36"/>
      <c r="O17" s="36"/>
      <c r="P17" s="36"/>
      <c r="Q17" s="36"/>
      <c r="R17" s="36"/>
      <c r="S17" s="36"/>
      <c r="T17" s="36"/>
    </row>
    <row r="18" spans="1:20" ht="15.75">
      <c r="A18" s="13">
        <v>42036</v>
      </c>
      <c r="B18" s="44">
        <v>28</v>
      </c>
      <c r="C18" s="35">
        <v>122.58</v>
      </c>
      <c r="D18" s="35">
        <v>297.94099999999997</v>
      </c>
      <c r="E18" s="41">
        <v>729.47900000000004</v>
      </c>
      <c r="F18" s="35">
        <v>1150</v>
      </c>
      <c r="G18" s="35">
        <v>100</v>
      </c>
      <c r="H18" s="43"/>
      <c r="I18" s="35">
        <v>695</v>
      </c>
      <c r="J18" s="35">
        <v>50</v>
      </c>
      <c r="K18" s="36"/>
      <c r="L18" s="45"/>
      <c r="M18" s="36"/>
      <c r="N18" s="36"/>
      <c r="O18" s="36"/>
      <c r="P18" s="36"/>
      <c r="Q18" s="36"/>
      <c r="R18" s="36"/>
      <c r="S18" s="36"/>
      <c r="T18" s="36"/>
    </row>
    <row r="19" spans="1:20" ht="15.75">
      <c r="A19" s="13">
        <v>42064</v>
      </c>
      <c r="B19" s="44">
        <v>31</v>
      </c>
      <c r="C19" s="35">
        <v>122.58</v>
      </c>
      <c r="D19" s="35">
        <v>297.94099999999997</v>
      </c>
      <c r="E19" s="41">
        <v>729.47900000000004</v>
      </c>
      <c r="F19" s="35">
        <v>1150</v>
      </c>
      <c r="G19" s="35">
        <v>100</v>
      </c>
      <c r="H19" s="43"/>
      <c r="I19" s="35">
        <v>695</v>
      </c>
      <c r="J19" s="35">
        <v>50</v>
      </c>
      <c r="K19" s="36"/>
      <c r="L19" s="45"/>
      <c r="M19" s="36"/>
      <c r="N19" s="36"/>
      <c r="O19" s="36"/>
      <c r="P19" s="36"/>
      <c r="Q19" s="36"/>
      <c r="R19" s="36"/>
      <c r="S19" s="36"/>
      <c r="T19" s="36"/>
    </row>
    <row r="20" spans="1:20" ht="15.75">
      <c r="A20" s="13">
        <v>42095</v>
      </c>
      <c r="B20" s="44">
        <v>30</v>
      </c>
      <c r="C20" s="35">
        <v>141.29300000000001</v>
      </c>
      <c r="D20" s="35">
        <v>267.99299999999999</v>
      </c>
      <c r="E20" s="41">
        <v>829.71400000000006</v>
      </c>
      <c r="F20" s="35">
        <v>1239</v>
      </c>
      <c r="G20" s="35">
        <v>100</v>
      </c>
      <c r="H20" s="43"/>
      <c r="I20" s="35">
        <v>695</v>
      </c>
      <c r="J20" s="35">
        <v>50</v>
      </c>
      <c r="K20" s="36"/>
      <c r="L20" s="45"/>
      <c r="M20" s="36"/>
      <c r="N20" s="36"/>
      <c r="O20" s="36"/>
      <c r="P20" s="36"/>
      <c r="Q20" s="36"/>
      <c r="R20" s="36"/>
      <c r="S20" s="36"/>
      <c r="T20" s="36"/>
    </row>
    <row r="21" spans="1:20" ht="15.75">
      <c r="A21" s="13">
        <v>42125</v>
      </c>
      <c r="B21" s="44">
        <v>31</v>
      </c>
      <c r="C21" s="35">
        <v>194.20500000000001</v>
      </c>
      <c r="D21" s="35">
        <v>267.46600000000001</v>
      </c>
      <c r="E21" s="41">
        <v>912.32899999999995</v>
      </c>
      <c r="F21" s="35">
        <v>1374</v>
      </c>
      <c r="G21" s="35">
        <v>75</v>
      </c>
      <c r="H21" s="43"/>
      <c r="I21" s="35">
        <v>695</v>
      </c>
      <c r="J21" s="35">
        <v>50</v>
      </c>
      <c r="K21" s="36"/>
      <c r="L21" s="45"/>
      <c r="M21" s="36"/>
      <c r="N21" s="36"/>
      <c r="O21" s="36"/>
      <c r="P21" s="36"/>
      <c r="Q21" s="36"/>
      <c r="R21" s="36"/>
      <c r="S21" s="36"/>
      <c r="T21" s="36"/>
    </row>
    <row r="22" spans="1:20" ht="15.75">
      <c r="A22" s="13">
        <v>42156</v>
      </c>
      <c r="B22" s="44">
        <v>30</v>
      </c>
      <c r="C22" s="35">
        <v>194.20500000000001</v>
      </c>
      <c r="D22" s="35">
        <v>267.46600000000001</v>
      </c>
      <c r="E22" s="41">
        <v>912.32899999999995</v>
      </c>
      <c r="F22" s="35">
        <v>1374</v>
      </c>
      <c r="G22" s="35">
        <v>50</v>
      </c>
      <c r="H22" s="43"/>
      <c r="I22" s="35">
        <v>695</v>
      </c>
      <c r="J22" s="35">
        <v>50</v>
      </c>
      <c r="K22" s="36"/>
      <c r="L22" s="45"/>
      <c r="M22" s="36"/>
      <c r="N22" s="36"/>
      <c r="O22" s="36"/>
      <c r="P22" s="36"/>
      <c r="Q22" s="36"/>
      <c r="R22" s="36"/>
      <c r="S22" s="36"/>
      <c r="T22" s="36"/>
    </row>
    <row r="23" spans="1:20" ht="15.75">
      <c r="A23" s="13">
        <v>42186</v>
      </c>
      <c r="B23" s="44">
        <v>31</v>
      </c>
      <c r="C23" s="35">
        <v>194.20500000000001</v>
      </c>
      <c r="D23" s="35">
        <v>267.46600000000001</v>
      </c>
      <c r="E23" s="41">
        <v>912.32899999999995</v>
      </c>
      <c r="F23" s="35">
        <v>1374</v>
      </c>
      <c r="G23" s="35">
        <v>50</v>
      </c>
      <c r="H23" s="43"/>
      <c r="I23" s="35">
        <v>695</v>
      </c>
      <c r="J23" s="35">
        <v>0</v>
      </c>
      <c r="K23" s="36"/>
      <c r="L23" s="45"/>
      <c r="M23" s="36"/>
      <c r="N23" s="36"/>
      <c r="O23" s="36"/>
      <c r="P23" s="36"/>
      <c r="Q23" s="36"/>
      <c r="R23" s="36"/>
      <c r="S23" s="36"/>
      <c r="T23" s="36"/>
    </row>
    <row r="24" spans="1:20" ht="15.75">
      <c r="A24" s="13">
        <v>42217</v>
      </c>
      <c r="B24" s="44">
        <v>31</v>
      </c>
      <c r="C24" s="35">
        <v>194.20500000000001</v>
      </c>
      <c r="D24" s="35">
        <v>267.46600000000001</v>
      </c>
      <c r="E24" s="41">
        <v>912.32899999999995</v>
      </c>
      <c r="F24" s="35">
        <v>1374</v>
      </c>
      <c r="G24" s="35">
        <v>50</v>
      </c>
      <c r="H24" s="43"/>
      <c r="I24" s="35">
        <v>695</v>
      </c>
      <c r="J24" s="35">
        <v>0</v>
      </c>
      <c r="K24" s="36"/>
      <c r="L24" s="45"/>
      <c r="M24" s="36"/>
      <c r="N24" s="36"/>
      <c r="O24" s="36"/>
      <c r="P24" s="36"/>
      <c r="Q24" s="36"/>
      <c r="R24" s="36"/>
      <c r="S24" s="36"/>
      <c r="T24" s="36"/>
    </row>
    <row r="25" spans="1:20" ht="15.75">
      <c r="A25" s="13">
        <v>42248</v>
      </c>
      <c r="B25" s="44">
        <v>30</v>
      </c>
      <c r="C25" s="35">
        <v>194.20500000000001</v>
      </c>
      <c r="D25" s="35">
        <v>267.46600000000001</v>
      </c>
      <c r="E25" s="41">
        <v>912.32899999999995</v>
      </c>
      <c r="F25" s="35">
        <v>1374</v>
      </c>
      <c r="G25" s="35">
        <v>50</v>
      </c>
      <c r="H25" s="43"/>
      <c r="I25" s="35">
        <v>695</v>
      </c>
      <c r="J25" s="35">
        <v>0</v>
      </c>
      <c r="K25" s="36"/>
      <c r="L25" s="45"/>
      <c r="M25" s="36"/>
      <c r="N25" s="36"/>
      <c r="O25" s="36"/>
      <c r="P25" s="36"/>
      <c r="Q25" s="36"/>
      <c r="R25" s="36"/>
      <c r="S25" s="36"/>
      <c r="T25" s="36"/>
    </row>
    <row r="26" spans="1:20" ht="15.75">
      <c r="A26" s="13">
        <v>42278</v>
      </c>
      <c r="B26" s="44">
        <v>31</v>
      </c>
      <c r="C26" s="35">
        <v>131.881</v>
      </c>
      <c r="D26" s="35">
        <v>277.16699999999997</v>
      </c>
      <c r="E26" s="41">
        <v>829.952</v>
      </c>
      <c r="F26" s="35">
        <v>1239</v>
      </c>
      <c r="G26" s="35">
        <v>75</v>
      </c>
      <c r="H26" s="43"/>
      <c r="I26" s="35">
        <v>695</v>
      </c>
      <c r="J26" s="35">
        <v>0</v>
      </c>
      <c r="K26" s="36"/>
      <c r="L26" s="45"/>
      <c r="M26" s="36"/>
      <c r="N26" s="36"/>
      <c r="O26" s="36"/>
      <c r="P26" s="36"/>
      <c r="Q26" s="36"/>
      <c r="R26" s="36"/>
      <c r="S26" s="36"/>
      <c r="T26" s="36"/>
    </row>
    <row r="27" spans="1:20" ht="15.75">
      <c r="A27" s="13">
        <v>42309</v>
      </c>
      <c r="B27" s="44">
        <v>30</v>
      </c>
      <c r="C27" s="35">
        <v>122.58</v>
      </c>
      <c r="D27" s="35">
        <v>297.94099999999997</v>
      </c>
      <c r="E27" s="41">
        <v>729.47900000000004</v>
      </c>
      <c r="F27" s="35">
        <v>1150</v>
      </c>
      <c r="G27" s="35">
        <v>100</v>
      </c>
      <c r="H27" s="43"/>
      <c r="I27" s="35">
        <v>695</v>
      </c>
      <c r="J27" s="35">
        <v>50</v>
      </c>
      <c r="K27" s="36"/>
      <c r="L27" s="45"/>
      <c r="M27" s="36"/>
      <c r="N27" s="36"/>
      <c r="O27" s="36"/>
      <c r="P27" s="36"/>
      <c r="Q27" s="36"/>
      <c r="R27" s="36"/>
      <c r="S27" s="36"/>
      <c r="T27" s="36"/>
    </row>
    <row r="28" spans="1:20" ht="15.75">
      <c r="A28" s="13">
        <v>42339</v>
      </c>
      <c r="B28" s="44">
        <v>31</v>
      </c>
      <c r="C28" s="35">
        <v>122.58</v>
      </c>
      <c r="D28" s="35">
        <v>297.94099999999997</v>
      </c>
      <c r="E28" s="41">
        <v>729.47900000000004</v>
      </c>
      <c r="F28" s="35">
        <v>1150</v>
      </c>
      <c r="G28" s="35">
        <v>100</v>
      </c>
      <c r="H28" s="43"/>
      <c r="I28" s="35">
        <v>695</v>
      </c>
      <c r="J28" s="35">
        <v>50</v>
      </c>
      <c r="K28" s="36"/>
      <c r="L28" s="45"/>
      <c r="M28" s="36"/>
      <c r="N28" s="36"/>
      <c r="O28" s="36"/>
      <c r="P28" s="36"/>
      <c r="Q28" s="36"/>
      <c r="R28" s="36"/>
      <c r="S28" s="36"/>
      <c r="T28" s="36"/>
    </row>
    <row r="29" spans="1:20" ht="15.75">
      <c r="A29" s="13">
        <v>42370</v>
      </c>
      <c r="B29" s="44">
        <v>31</v>
      </c>
      <c r="C29" s="35">
        <v>122.58</v>
      </c>
      <c r="D29" s="35">
        <v>297.94099999999997</v>
      </c>
      <c r="E29" s="41">
        <v>729.47900000000004</v>
      </c>
      <c r="F29" s="35">
        <v>1150</v>
      </c>
      <c r="G29" s="35">
        <v>100</v>
      </c>
      <c r="H29" s="43"/>
      <c r="I29" s="35">
        <v>695</v>
      </c>
      <c r="J29" s="35">
        <v>50</v>
      </c>
      <c r="K29" s="36"/>
      <c r="L29" s="45"/>
      <c r="M29" s="36"/>
      <c r="N29" s="36"/>
      <c r="O29" s="36"/>
      <c r="P29" s="36"/>
      <c r="Q29" s="36"/>
      <c r="R29" s="36"/>
      <c r="S29" s="36"/>
      <c r="T29" s="36"/>
    </row>
    <row r="30" spans="1:20" ht="15.75">
      <c r="A30" s="13">
        <v>42401</v>
      </c>
      <c r="B30" s="44">
        <v>29</v>
      </c>
      <c r="C30" s="35">
        <v>122.58</v>
      </c>
      <c r="D30" s="35">
        <v>297.94099999999997</v>
      </c>
      <c r="E30" s="41">
        <v>729.47900000000004</v>
      </c>
      <c r="F30" s="35">
        <v>1150</v>
      </c>
      <c r="G30" s="35">
        <v>100</v>
      </c>
      <c r="H30" s="43"/>
      <c r="I30" s="35">
        <v>695</v>
      </c>
      <c r="J30" s="35">
        <v>50</v>
      </c>
      <c r="K30" s="36"/>
      <c r="L30" s="45"/>
      <c r="M30" s="36"/>
      <c r="N30" s="36"/>
      <c r="O30" s="36"/>
      <c r="P30" s="36"/>
      <c r="Q30" s="36"/>
      <c r="R30" s="36"/>
      <c r="S30" s="36"/>
      <c r="T30" s="36"/>
    </row>
    <row r="31" spans="1:20" ht="15.75">
      <c r="A31" s="13">
        <v>42430</v>
      </c>
      <c r="B31" s="44">
        <v>31</v>
      </c>
      <c r="C31" s="35">
        <v>122.58</v>
      </c>
      <c r="D31" s="35">
        <v>297.94099999999997</v>
      </c>
      <c r="E31" s="41">
        <v>729.47900000000004</v>
      </c>
      <c r="F31" s="35">
        <v>1150</v>
      </c>
      <c r="G31" s="35">
        <v>100</v>
      </c>
      <c r="H31" s="43"/>
      <c r="I31" s="35">
        <v>695</v>
      </c>
      <c r="J31" s="35">
        <v>50</v>
      </c>
      <c r="K31" s="36"/>
      <c r="L31" s="45"/>
      <c r="M31" s="36"/>
      <c r="N31" s="36"/>
      <c r="O31" s="36"/>
      <c r="P31" s="36"/>
      <c r="Q31" s="36"/>
      <c r="R31" s="36"/>
      <c r="S31" s="36"/>
      <c r="T31" s="36"/>
    </row>
    <row r="32" spans="1:20" ht="15.75">
      <c r="A32" s="13">
        <v>42461</v>
      </c>
      <c r="B32" s="44">
        <v>30</v>
      </c>
      <c r="C32" s="35">
        <v>141.29300000000001</v>
      </c>
      <c r="D32" s="35">
        <v>267.99299999999999</v>
      </c>
      <c r="E32" s="41">
        <v>829.71400000000006</v>
      </c>
      <c r="F32" s="35">
        <v>1239</v>
      </c>
      <c r="G32" s="35">
        <v>100</v>
      </c>
      <c r="H32" s="43"/>
      <c r="I32" s="35">
        <v>695</v>
      </c>
      <c r="J32" s="35">
        <v>50</v>
      </c>
      <c r="K32" s="36"/>
      <c r="L32" s="45"/>
      <c r="M32" s="36"/>
      <c r="N32" s="36"/>
      <c r="O32" s="36"/>
      <c r="P32" s="36"/>
      <c r="Q32" s="36"/>
      <c r="R32" s="36"/>
      <c r="S32" s="36"/>
      <c r="T32" s="36"/>
    </row>
    <row r="33" spans="1:20" ht="15.75">
      <c r="A33" s="13">
        <v>42491</v>
      </c>
      <c r="B33" s="44">
        <v>31</v>
      </c>
      <c r="C33" s="35">
        <v>194.20500000000001</v>
      </c>
      <c r="D33" s="35">
        <v>267.46600000000001</v>
      </c>
      <c r="E33" s="41">
        <v>912.32899999999995</v>
      </c>
      <c r="F33" s="35">
        <v>1374</v>
      </c>
      <c r="G33" s="35">
        <v>75</v>
      </c>
      <c r="H33" s="43"/>
      <c r="I33" s="35">
        <v>695</v>
      </c>
      <c r="J33" s="35">
        <v>50</v>
      </c>
      <c r="K33" s="36"/>
      <c r="L33" s="45"/>
      <c r="M33" s="36"/>
      <c r="N33" s="36"/>
      <c r="O33" s="36"/>
      <c r="P33" s="36"/>
      <c r="Q33" s="36"/>
      <c r="R33" s="36"/>
      <c r="S33" s="36"/>
      <c r="T33" s="36"/>
    </row>
    <row r="34" spans="1:20" ht="15.75">
      <c r="A34" s="13">
        <v>42522</v>
      </c>
      <c r="B34" s="44">
        <v>30</v>
      </c>
      <c r="C34" s="35">
        <v>194.20500000000001</v>
      </c>
      <c r="D34" s="35">
        <v>267.46600000000001</v>
      </c>
      <c r="E34" s="41">
        <v>912.32899999999995</v>
      </c>
      <c r="F34" s="35">
        <v>1374</v>
      </c>
      <c r="G34" s="35">
        <v>50</v>
      </c>
      <c r="H34" s="43"/>
      <c r="I34" s="35">
        <v>695</v>
      </c>
      <c r="J34" s="35">
        <v>50</v>
      </c>
      <c r="K34" s="36"/>
      <c r="L34" s="45"/>
      <c r="M34" s="36"/>
      <c r="N34" s="36"/>
      <c r="O34" s="36"/>
      <c r="P34" s="36"/>
      <c r="Q34" s="36"/>
      <c r="R34" s="36"/>
      <c r="S34" s="36"/>
      <c r="T34" s="36"/>
    </row>
    <row r="35" spans="1:20" ht="15.75">
      <c r="A35" s="13">
        <v>42552</v>
      </c>
      <c r="B35" s="44">
        <v>31</v>
      </c>
      <c r="C35" s="35">
        <v>194.20500000000001</v>
      </c>
      <c r="D35" s="35">
        <v>267.46600000000001</v>
      </c>
      <c r="E35" s="41">
        <v>912.32899999999995</v>
      </c>
      <c r="F35" s="35">
        <v>1374</v>
      </c>
      <c r="G35" s="35">
        <v>50</v>
      </c>
      <c r="H35" s="43"/>
      <c r="I35" s="35">
        <v>695</v>
      </c>
      <c r="J35" s="35">
        <v>0</v>
      </c>
      <c r="K35" s="36"/>
      <c r="L35" s="45"/>
      <c r="M35" s="36"/>
      <c r="N35" s="36"/>
      <c r="O35" s="36"/>
      <c r="P35" s="36"/>
      <c r="Q35" s="36"/>
      <c r="R35" s="36"/>
      <c r="S35" s="36"/>
      <c r="T35" s="36"/>
    </row>
    <row r="36" spans="1:20" ht="15.75">
      <c r="A36" s="13">
        <v>42583</v>
      </c>
      <c r="B36" s="44">
        <v>31</v>
      </c>
      <c r="C36" s="35">
        <v>194.20500000000001</v>
      </c>
      <c r="D36" s="35">
        <v>267.46600000000001</v>
      </c>
      <c r="E36" s="41">
        <v>912.32899999999995</v>
      </c>
      <c r="F36" s="35">
        <v>1374</v>
      </c>
      <c r="G36" s="35">
        <v>50</v>
      </c>
      <c r="H36" s="43"/>
      <c r="I36" s="35">
        <v>695</v>
      </c>
      <c r="J36" s="35">
        <v>0</v>
      </c>
      <c r="K36" s="36"/>
      <c r="L36" s="45"/>
      <c r="M36" s="36"/>
      <c r="N36" s="36"/>
      <c r="O36" s="36"/>
      <c r="P36" s="36"/>
      <c r="Q36" s="36"/>
      <c r="R36" s="36"/>
      <c r="S36" s="36"/>
      <c r="T36" s="36"/>
    </row>
    <row r="37" spans="1:20" ht="15.75">
      <c r="A37" s="13">
        <v>42614</v>
      </c>
      <c r="B37" s="44">
        <v>30</v>
      </c>
      <c r="C37" s="35">
        <v>194.20500000000001</v>
      </c>
      <c r="D37" s="35">
        <v>267.46600000000001</v>
      </c>
      <c r="E37" s="41">
        <v>912.32899999999995</v>
      </c>
      <c r="F37" s="35">
        <v>1374</v>
      </c>
      <c r="G37" s="35">
        <v>50</v>
      </c>
      <c r="H37" s="43"/>
      <c r="I37" s="35">
        <v>695</v>
      </c>
      <c r="J37" s="35">
        <v>0</v>
      </c>
      <c r="K37" s="36"/>
      <c r="L37" s="45"/>
      <c r="M37" s="36"/>
      <c r="N37" s="36"/>
      <c r="O37" s="36"/>
      <c r="P37" s="36"/>
      <c r="Q37" s="36"/>
      <c r="R37" s="36"/>
      <c r="S37" s="36"/>
      <c r="T37" s="36"/>
    </row>
    <row r="38" spans="1:20" ht="15.75">
      <c r="A38" s="13">
        <v>42644</v>
      </c>
      <c r="B38" s="44">
        <v>31</v>
      </c>
      <c r="C38" s="35">
        <v>131.881</v>
      </c>
      <c r="D38" s="35">
        <v>277.16699999999997</v>
      </c>
      <c r="E38" s="41">
        <v>829.952</v>
      </c>
      <c r="F38" s="35">
        <v>1239</v>
      </c>
      <c r="G38" s="35">
        <v>75</v>
      </c>
      <c r="H38" s="43"/>
      <c r="I38" s="35">
        <v>695</v>
      </c>
      <c r="J38" s="35">
        <v>0</v>
      </c>
      <c r="K38" s="36"/>
      <c r="L38" s="45"/>
      <c r="M38" s="36"/>
      <c r="N38" s="36"/>
      <c r="O38" s="36"/>
      <c r="P38" s="36"/>
      <c r="Q38" s="36"/>
      <c r="R38" s="36"/>
      <c r="S38" s="36"/>
      <c r="T38" s="36"/>
    </row>
    <row r="39" spans="1:20" ht="15.75">
      <c r="A39" s="13">
        <v>42675</v>
      </c>
      <c r="B39" s="44">
        <v>30</v>
      </c>
      <c r="C39" s="35">
        <v>122.58</v>
      </c>
      <c r="D39" s="35">
        <v>297.94099999999997</v>
      </c>
      <c r="E39" s="41">
        <v>729.47900000000004</v>
      </c>
      <c r="F39" s="35">
        <v>1150</v>
      </c>
      <c r="G39" s="35">
        <v>100</v>
      </c>
      <c r="H39" s="43"/>
      <c r="I39" s="35">
        <v>695</v>
      </c>
      <c r="J39" s="35">
        <v>50</v>
      </c>
      <c r="K39" s="36"/>
      <c r="L39" s="45"/>
      <c r="M39" s="36"/>
      <c r="N39" s="36"/>
      <c r="O39" s="36"/>
      <c r="P39" s="36"/>
      <c r="Q39" s="36"/>
      <c r="R39" s="36"/>
      <c r="S39" s="36"/>
      <c r="T39" s="36"/>
    </row>
    <row r="40" spans="1:20" ht="15.75">
      <c r="A40" s="13">
        <v>42705</v>
      </c>
      <c r="B40" s="44">
        <v>31</v>
      </c>
      <c r="C40" s="35">
        <v>122.58</v>
      </c>
      <c r="D40" s="35">
        <v>297.94099999999997</v>
      </c>
      <c r="E40" s="41">
        <v>729.47900000000004</v>
      </c>
      <c r="F40" s="35">
        <v>1150</v>
      </c>
      <c r="G40" s="35">
        <v>100</v>
      </c>
      <c r="H40" s="43"/>
      <c r="I40" s="35">
        <v>695</v>
      </c>
      <c r="J40" s="35">
        <v>50</v>
      </c>
      <c r="K40" s="36"/>
      <c r="L40" s="45"/>
      <c r="M40" s="36"/>
      <c r="N40" s="36"/>
      <c r="O40" s="36"/>
      <c r="P40" s="36"/>
      <c r="Q40" s="36"/>
      <c r="R40" s="36"/>
      <c r="S40" s="36"/>
      <c r="T40" s="36"/>
    </row>
    <row r="41" spans="1:20" ht="15.75">
      <c r="A41" s="13">
        <v>42736</v>
      </c>
      <c r="B41" s="44">
        <v>31</v>
      </c>
      <c r="C41" s="35">
        <v>122.58</v>
      </c>
      <c r="D41" s="35">
        <v>297.94099999999997</v>
      </c>
      <c r="E41" s="41">
        <v>729.47900000000004</v>
      </c>
      <c r="F41" s="35">
        <v>1150</v>
      </c>
      <c r="G41" s="35">
        <v>100</v>
      </c>
      <c r="H41" s="43"/>
      <c r="I41" s="35">
        <v>695</v>
      </c>
      <c r="J41" s="35">
        <v>50</v>
      </c>
      <c r="K41" s="36"/>
      <c r="L41" s="45"/>
      <c r="M41" s="36"/>
      <c r="N41" s="36"/>
      <c r="O41" s="36"/>
      <c r="P41" s="36"/>
      <c r="Q41" s="36"/>
      <c r="R41" s="36"/>
      <c r="S41" s="36"/>
      <c r="T41" s="36"/>
    </row>
    <row r="42" spans="1:20" ht="15.75">
      <c r="A42" s="13">
        <v>42767</v>
      </c>
      <c r="B42" s="44">
        <v>28</v>
      </c>
      <c r="C42" s="35">
        <v>122.58</v>
      </c>
      <c r="D42" s="35">
        <v>297.94099999999997</v>
      </c>
      <c r="E42" s="41">
        <v>729.47900000000004</v>
      </c>
      <c r="F42" s="35">
        <v>1150</v>
      </c>
      <c r="G42" s="35">
        <v>100</v>
      </c>
      <c r="H42" s="43"/>
      <c r="I42" s="35">
        <v>695</v>
      </c>
      <c r="J42" s="35">
        <v>50</v>
      </c>
      <c r="K42" s="36"/>
      <c r="L42" s="45"/>
      <c r="M42" s="36"/>
      <c r="N42" s="36"/>
      <c r="O42" s="36"/>
      <c r="P42" s="36"/>
      <c r="Q42" s="36"/>
      <c r="R42" s="36"/>
      <c r="S42" s="36"/>
      <c r="T42" s="36"/>
    </row>
    <row r="43" spans="1:20" ht="15.75">
      <c r="A43" s="13">
        <v>42795</v>
      </c>
      <c r="B43" s="44">
        <v>31</v>
      </c>
      <c r="C43" s="35">
        <v>122.58</v>
      </c>
      <c r="D43" s="35">
        <v>297.94099999999997</v>
      </c>
      <c r="E43" s="41">
        <v>729.47900000000004</v>
      </c>
      <c r="F43" s="35">
        <v>1150</v>
      </c>
      <c r="G43" s="35">
        <v>100</v>
      </c>
      <c r="H43" s="43"/>
      <c r="I43" s="35">
        <v>695</v>
      </c>
      <c r="J43" s="35">
        <v>50</v>
      </c>
      <c r="K43" s="36"/>
      <c r="L43" s="45"/>
      <c r="M43" s="36"/>
      <c r="N43" s="36"/>
      <c r="O43" s="36"/>
      <c r="P43" s="36"/>
      <c r="Q43" s="36"/>
      <c r="R43" s="36"/>
      <c r="S43" s="36"/>
      <c r="T43" s="36"/>
    </row>
    <row r="44" spans="1:20" ht="15.75">
      <c r="A44" s="13">
        <v>42826</v>
      </c>
      <c r="B44" s="44">
        <v>30</v>
      </c>
      <c r="C44" s="35">
        <v>141.29300000000001</v>
      </c>
      <c r="D44" s="35">
        <v>267.99299999999999</v>
      </c>
      <c r="E44" s="41">
        <v>829.71400000000006</v>
      </c>
      <c r="F44" s="35">
        <v>1239</v>
      </c>
      <c r="G44" s="35">
        <v>100</v>
      </c>
      <c r="H44" s="43"/>
      <c r="I44" s="35">
        <v>695</v>
      </c>
      <c r="J44" s="35">
        <v>50</v>
      </c>
      <c r="K44" s="36"/>
      <c r="L44" s="45"/>
      <c r="M44" s="36"/>
      <c r="N44" s="36"/>
      <c r="O44" s="36"/>
      <c r="P44" s="36"/>
      <c r="Q44" s="36"/>
      <c r="R44" s="36"/>
      <c r="S44" s="36"/>
      <c r="T44" s="36"/>
    </row>
    <row r="45" spans="1:20" ht="15.75">
      <c r="A45" s="13">
        <v>42856</v>
      </c>
      <c r="B45" s="44">
        <v>31</v>
      </c>
      <c r="C45" s="35">
        <v>194.20500000000001</v>
      </c>
      <c r="D45" s="35">
        <v>267.46600000000001</v>
      </c>
      <c r="E45" s="41">
        <v>812.32899999999995</v>
      </c>
      <c r="F45" s="35">
        <v>1274</v>
      </c>
      <c r="G45" s="35">
        <v>75</v>
      </c>
      <c r="H45" s="43">
        <v>400</v>
      </c>
      <c r="I45" s="35">
        <v>695</v>
      </c>
      <c r="J45" s="35">
        <v>50</v>
      </c>
      <c r="K45" s="36"/>
      <c r="L45" s="45"/>
      <c r="M45" s="36"/>
      <c r="N45" s="36"/>
      <c r="O45" s="36"/>
      <c r="P45" s="36"/>
      <c r="Q45" s="36"/>
      <c r="R45" s="36"/>
      <c r="S45" s="36"/>
      <c r="T45" s="36"/>
    </row>
    <row r="46" spans="1:20" ht="15.75">
      <c r="A46" s="13">
        <v>42887</v>
      </c>
      <c r="B46" s="44">
        <v>30</v>
      </c>
      <c r="C46" s="35">
        <v>194.20500000000001</v>
      </c>
      <c r="D46" s="35">
        <v>267.46600000000001</v>
      </c>
      <c r="E46" s="41">
        <v>812.32899999999995</v>
      </c>
      <c r="F46" s="35">
        <v>1274</v>
      </c>
      <c r="G46" s="35">
        <v>50</v>
      </c>
      <c r="H46" s="43">
        <v>400</v>
      </c>
      <c r="I46" s="35">
        <v>695</v>
      </c>
      <c r="J46" s="35">
        <v>50</v>
      </c>
      <c r="K46" s="36"/>
      <c r="L46" s="45"/>
      <c r="M46" s="36"/>
      <c r="N46" s="36"/>
      <c r="O46" s="36"/>
      <c r="P46" s="36"/>
      <c r="Q46" s="36"/>
      <c r="R46" s="36"/>
      <c r="S46" s="36"/>
      <c r="T46" s="36"/>
    </row>
    <row r="47" spans="1:20" ht="15.75">
      <c r="A47" s="13">
        <v>42917</v>
      </c>
      <c r="B47" s="44">
        <v>31</v>
      </c>
      <c r="C47" s="35">
        <v>194.20500000000001</v>
      </c>
      <c r="D47" s="35">
        <v>267.46600000000001</v>
      </c>
      <c r="E47" s="41">
        <v>812.32899999999995</v>
      </c>
      <c r="F47" s="35">
        <v>1274</v>
      </c>
      <c r="G47" s="35">
        <v>50</v>
      </c>
      <c r="H47" s="43">
        <v>400</v>
      </c>
      <c r="I47" s="35">
        <v>695</v>
      </c>
      <c r="J47" s="35">
        <v>0</v>
      </c>
      <c r="K47" s="36"/>
      <c r="L47" s="45"/>
      <c r="M47" s="36"/>
      <c r="N47" s="36"/>
      <c r="O47" s="36"/>
      <c r="P47" s="36"/>
      <c r="Q47" s="36"/>
      <c r="R47" s="36"/>
      <c r="S47" s="36"/>
      <c r="T47" s="36"/>
    </row>
    <row r="48" spans="1:20" ht="15.75">
      <c r="A48" s="13">
        <v>42948</v>
      </c>
      <c r="B48" s="44">
        <v>31</v>
      </c>
      <c r="C48" s="35">
        <v>194.20500000000001</v>
      </c>
      <c r="D48" s="35">
        <v>267.46600000000001</v>
      </c>
      <c r="E48" s="41">
        <v>812.32899999999995</v>
      </c>
      <c r="F48" s="35">
        <v>1274</v>
      </c>
      <c r="G48" s="35">
        <v>50</v>
      </c>
      <c r="H48" s="43">
        <v>400</v>
      </c>
      <c r="I48" s="35">
        <v>695</v>
      </c>
      <c r="J48" s="35">
        <v>0</v>
      </c>
      <c r="K48" s="36"/>
      <c r="L48" s="45"/>
      <c r="M48" s="36"/>
      <c r="N48" s="36"/>
      <c r="O48" s="36"/>
      <c r="P48" s="36"/>
      <c r="Q48" s="36"/>
      <c r="R48" s="36"/>
      <c r="S48" s="36"/>
      <c r="T48" s="36"/>
    </row>
    <row r="49" spans="1:20" ht="15.75">
      <c r="A49" s="13">
        <v>42979</v>
      </c>
      <c r="B49" s="44">
        <v>30</v>
      </c>
      <c r="C49" s="35">
        <v>194.20500000000001</v>
      </c>
      <c r="D49" s="35">
        <v>267.46600000000001</v>
      </c>
      <c r="E49" s="41">
        <v>812.32899999999995</v>
      </c>
      <c r="F49" s="35">
        <v>1274</v>
      </c>
      <c r="G49" s="35">
        <v>50</v>
      </c>
      <c r="H49" s="43">
        <v>400</v>
      </c>
      <c r="I49" s="35">
        <v>695</v>
      </c>
      <c r="J49" s="35">
        <v>0</v>
      </c>
      <c r="K49" s="36"/>
      <c r="L49" s="45"/>
      <c r="M49" s="36"/>
      <c r="N49" s="36"/>
      <c r="O49" s="36"/>
      <c r="P49" s="36"/>
      <c r="Q49" s="36"/>
      <c r="R49" s="36"/>
      <c r="S49" s="36"/>
      <c r="T49" s="36"/>
    </row>
    <row r="50" spans="1:20" ht="15.75">
      <c r="A50" s="13">
        <v>43009</v>
      </c>
      <c r="B50" s="44">
        <v>31</v>
      </c>
      <c r="C50" s="35">
        <v>131.881</v>
      </c>
      <c r="D50" s="35">
        <v>277.16699999999997</v>
      </c>
      <c r="E50" s="41">
        <v>829.952</v>
      </c>
      <c r="F50" s="35">
        <v>1239</v>
      </c>
      <c r="G50" s="35">
        <v>75</v>
      </c>
      <c r="H50" s="43">
        <v>400</v>
      </c>
      <c r="I50" s="35">
        <v>695</v>
      </c>
      <c r="J50" s="35">
        <v>0</v>
      </c>
      <c r="K50" s="36"/>
      <c r="L50" s="45"/>
      <c r="M50" s="36"/>
      <c r="N50" s="36"/>
      <c r="O50" s="36"/>
      <c r="P50" s="36"/>
      <c r="Q50" s="36"/>
      <c r="R50" s="36"/>
      <c r="S50" s="36"/>
      <c r="T50" s="36"/>
    </row>
    <row r="51" spans="1:20" ht="15.75">
      <c r="A51" s="13">
        <v>43040</v>
      </c>
      <c r="B51" s="44">
        <v>30</v>
      </c>
      <c r="C51" s="35">
        <v>122.58</v>
      </c>
      <c r="D51" s="35">
        <v>297.94099999999997</v>
      </c>
      <c r="E51" s="41">
        <v>729.47900000000004</v>
      </c>
      <c r="F51" s="35">
        <v>1150</v>
      </c>
      <c r="G51" s="35">
        <v>100</v>
      </c>
      <c r="H51" s="43">
        <v>400</v>
      </c>
      <c r="I51" s="35">
        <v>695</v>
      </c>
      <c r="J51" s="35">
        <v>50</v>
      </c>
      <c r="K51" s="36"/>
      <c r="L51" s="45"/>
      <c r="M51" s="36"/>
      <c r="N51" s="36"/>
      <c r="O51" s="36"/>
      <c r="P51" s="36"/>
      <c r="Q51" s="36"/>
      <c r="R51" s="36"/>
      <c r="S51" s="36"/>
      <c r="T51" s="36"/>
    </row>
    <row r="52" spans="1:20" ht="15.75">
      <c r="A52" s="13">
        <v>43070</v>
      </c>
      <c r="B52" s="44">
        <v>31</v>
      </c>
      <c r="C52" s="35">
        <v>122.58</v>
      </c>
      <c r="D52" s="35">
        <v>297.94099999999997</v>
      </c>
      <c r="E52" s="41">
        <v>729.47900000000004</v>
      </c>
      <c r="F52" s="35">
        <v>1150</v>
      </c>
      <c r="G52" s="35">
        <v>100</v>
      </c>
      <c r="H52" s="43">
        <v>400</v>
      </c>
      <c r="I52" s="35">
        <v>695</v>
      </c>
      <c r="J52" s="35">
        <v>50</v>
      </c>
      <c r="K52" s="36"/>
      <c r="L52" s="45"/>
      <c r="M52" s="36"/>
      <c r="N52" s="36"/>
      <c r="O52" s="36"/>
      <c r="P52" s="36"/>
      <c r="Q52" s="36"/>
      <c r="R52" s="36"/>
      <c r="S52" s="36"/>
      <c r="T52" s="36"/>
    </row>
    <row r="53" spans="1:20" ht="15.75">
      <c r="A53" s="13">
        <v>43101</v>
      </c>
      <c r="B53" s="44">
        <v>31</v>
      </c>
      <c r="C53" s="35">
        <v>122.58</v>
      </c>
      <c r="D53" s="35">
        <v>297.94099999999997</v>
      </c>
      <c r="E53" s="41">
        <v>729.47900000000004</v>
      </c>
      <c r="F53" s="35">
        <v>1150</v>
      </c>
      <c r="G53" s="35">
        <v>100</v>
      </c>
      <c r="H53" s="43">
        <v>400</v>
      </c>
      <c r="I53" s="35">
        <v>695</v>
      </c>
      <c r="J53" s="35">
        <v>50</v>
      </c>
      <c r="K53" s="36"/>
      <c r="L53" s="45"/>
      <c r="M53" s="36"/>
      <c r="N53" s="36"/>
      <c r="O53" s="36"/>
      <c r="P53" s="36"/>
      <c r="Q53" s="36"/>
      <c r="R53" s="36"/>
      <c r="S53" s="36"/>
      <c r="T53" s="36"/>
    </row>
    <row r="54" spans="1:20" ht="15.75">
      <c r="A54" s="13">
        <v>43132</v>
      </c>
      <c r="B54" s="44">
        <v>28</v>
      </c>
      <c r="C54" s="35">
        <v>122.58</v>
      </c>
      <c r="D54" s="35">
        <v>297.94099999999997</v>
      </c>
      <c r="E54" s="41">
        <v>729.47900000000004</v>
      </c>
      <c r="F54" s="35">
        <v>1150</v>
      </c>
      <c r="G54" s="35">
        <v>100</v>
      </c>
      <c r="H54" s="43">
        <v>400</v>
      </c>
      <c r="I54" s="35">
        <v>695</v>
      </c>
      <c r="J54" s="35">
        <v>50</v>
      </c>
      <c r="K54" s="36"/>
      <c r="L54" s="45"/>
      <c r="M54" s="36"/>
      <c r="N54" s="36"/>
      <c r="O54" s="36"/>
      <c r="P54" s="36"/>
      <c r="Q54" s="36"/>
      <c r="R54" s="36"/>
      <c r="S54" s="36"/>
      <c r="T54" s="36"/>
    </row>
    <row r="55" spans="1:20" ht="15.75">
      <c r="A55" s="13">
        <v>43160</v>
      </c>
      <c r="B55" s="44">
        <v>31</v>
      </c>
      <c r="C55" s="35">
        <v>122.58</v>
      </c>
      <c r="D55" s="35">
        <v>297.94099999999997</v>
      </c>
      <c r="E55" s="41">
        <v>729.47900000000004</v>
      </c>
      <c r="F55" s="35">
        <v>1150</v>
      </c>
      <c r="G55" s="35">
        <v>100</v>
      </c>
      <c r="H55" s="43">
        <v>400</v>
      </c>
      <c r="I55" s="35">
        <v>695</v>
      </c>
      <c r="J55" s="35">
        <v>50</v>
      </c>
      <c r="K55" s="36"/>
      <c r="L55" s="45"/>
      <c r="M55" s="36"/>
      <c r="N55" s="36"/>
      <c r="O55" s="36"/>
      <c r="P55" s="36"/>
      <c r="Q55" s="36"/>
      <c r="R55" s="36"/>
      <c r="S55" s="36"/>
      <c r="T55" s="36"/>
    </row>
    <row r="56" spans="1:20" ht="15.75">
      <c r="A56" s="13">
        <v>43191</v>
      </c>
      <c r="B56" s="44">
        <v>30</v>
      </c>
      <c r="C56" s="35">
        <v>141.29300000000001</v>
      </c>
      <c r="D56" s="35">
        <v>267.99299999999999</v>
      </c>
      <c r="E56" s="41">
        <v>829.71400000000006</v>
      </c>
      <c r="F56" s="35">
        <v>1239</v>
      </c>
      <c r="G56" s="35">
        <v>100</v>
      </c>
      <c r="H56" s="43">
        <v>400</v>
      </c>
      <c r="I56" s="35">
        <v>695</v>
      </c>
      <c r="J56" s="35">
        <v>50</v>
      </c>
      <c r="K56" s="36"/>
      <c r="L56" s="45"/>
      <c r="M56" s="36"/>
      <c r="N56" s="36"/>
      <c r="O56" s="36"/>
      <c r="P56" s="36"/>
      <c r="Q56" s="36"/>
      <c r="R56" s="36"/>
      <c r="S56" s="36"/>
      <c r="T56" s="36"/>
    </row>
    <row r="57" spans="1:20" ht="15.75">
      <c r="A57" s="13">
        <v>43221</v>
      </c>
      <c r="B57" s="44">
        <v>31</v>
      </c>
      <c r="C57" s="35">
        <v>194.20500000000001</v>
      </c>
      <c r="D57" s="35">
        <v>267.46600000000001</v>
      </c>
      <c r="E57" s="41">
        <v>812.32899999999995</v>
      </c>
      <c r="F57" s="35">
        <v>1274</v>
      </c>
      <c r="G57" s="35">
        <v>75</v>
      </c>
      <c r="H57" s="43">
        <v>400</v>
      </c>
      <c r="I57" s="35">
        <v>695</v>
      </c>
      <c r="J57" s="35">
        <v>50</v>
      </c>
      <c r="K57" s="36"/>
      <c r="L57" s="45"/>
      <c r="M57" s="36"/>
      <c r="N57" s="36"/>
      <c r="O57" s="36"/>
      <c r="P57" s="36"/>
      <c r="Q57" s="36"/>
      <c r="R57" s="36"/>
      <c r="S57" s="36"/>
      <c r="T57" s="36"/>
    </row>
    <row r="58" spans="1:20" ht="15.75">
      <c r="A58" s="13">
        <v>43252</v>
      </c>
      <c r="B58" s="44">
        <v>30</v>
      </c>
      <c r="C58" s="35">
        <v>194.20500000000001</v>
      </c>
      <c r="D58" s="35">
        <v>267.46600000000001</v>
      </c>
      <c r="E58" s="41">
        <v>812.32899999999995</v>
      </c>
      <c r="F58" s="35">
        <v>1274</v>
      </c>
      <c r="G58" s="35">
        <v>50</v>
      </c>
      <c r="H58" s="43">
        <v>400</v>
      </c>
      <c r="I58" s="35">
        <v>695</v>
      </c>
      <c r="J58" s="35">
        <v>50</v>
      </c>
      <c r="K58" s="36"/>
      <c r="L58" s="45"/>
      <c r="M58" s="36"/>
      <c r="N58" s="36"/>
      <c r="O58" s="36"/>
      <c r="P58" s="36"/>
      <c r="Q58" s="36"/>
      <c r="R58" s="36"/>
      <c r="S58" s="36"/>
      <c r="T58" s="36"/>
    </row>
    <row r="59" spans="1:20" ht="15.75">
      <c r="A59" s="13">
        <v>43282</v>
      </c>
      <c r="B59" s="44">
        <v>31</v>
      </c>
      <c r="C59" s="35">
        <v>194.20500000000001</v>
      </c>
      <c r="D59" s="35">
        <v>267.46600000000001</v>
      </c>
      <c r="E59" s="41">
        <v>812.32899999999995</v>
      </c>
      <c r="F59" s="35">
        <v>1274</v>
      </c>
      <c r="G59" s="35">
        <v>50</v>
      </c>
      <c r="H59" s="43">
        <v>400</v>
      </c>
      <c r="I59" s="35">
        <v>695</v>
      </c>
      <c r="J59" s="35">
        <v>0</v>
      </c>
      <c r="K59" s="36"/>
      <c r="L59" s="45"/>
      <c r="M59" s="36"/>
      <c r="N59" s="36"/>
      <c r="O59" s="36"/>
      <c r="P59" s="36"/>
      <c r="Q59" s="36"/>
      <c r="R59" s="36"/>
      <c r="S59" s="36"/>
      <c r="T59" s="36"/>
    </row>
    <row r="60" spans="1:20" ht="15.75">
      <c r="A60" s="13">
        <v>43313</v>
      </c>
      <c r="B60" s="44">
        <v>31</v>
      </c>
      <c r="C60" s="35">
        <v>194.20500000000001</v>
      </c>
      <c r="D60" s="35">
        <v>267.46600000000001</v>
      </c>
      <c r="E60" s="41">
        <v>812.32899999999995</v>
      </c>
      <c r="F60" s="35">
        <v>1274</v>
      </c>
      <c r="G60" s="35">
        <v>50</v>
      </c>
      <c r="H60" s="43">
        <v>400</v>
      </c>
      <c r="I60" s="35">
        <v>695</v>
      </c>
      <c r="J60" s="35">
        <v>0</v>
      </c>
      <c r="K60" s="36"/>
      <c r="L60" s="45"/>
      <c r="M60" s="36"/>
      <c r="N60" s="36"/>
      <c r="O60" s="36"/>
      <c r="P60" s="36"/>
      <c r="Q60" s="36"/>
      <c r="R60" s="36"/>
      <c r="S60" s="36"/>
      <c r="T60" s="36"/>
    </row>
    <row r="61" spans="1:20" ht="15.75">
      <c r="A61" s="13">
        <v>43344</v>
      </c>
      <c r="B61" s="44">
        <v>30</v>
      </c>
      <c r="C61" s="35">
        <v>194.20500000000001</v>
      </c>
      <c r="D61" s="35">
        <v>267.46600000000001</v>
      </c>
      <c r="E61" s="41">
        <v>812.32899999999995</v>
      </c>
      <c r="F61" s="35">
        <v>1274</v>
      </c>
      <c r="G61" s="35">
        <v>50</v>
      </c>
      <c r="H61" s="43">
        <v>400</v>
      </c>
      <c r="I61" s="35">
        <v>695</v>
      </c>
      <c r="J61" s="35">
        <v>0</v>
      </c>
      <c r="K61" s="36"/>
      <c r="L61" s="45"/>
      <c r="M61" s="36"/>
      <c r="N61" s="36"/>
      <c r="O61" s="36"/>
      <c r="P61" s="36"/>
      <c r="Q61" s="36"/>
      <c r="R61" s="36"/>
      <c r="S61" s="36"/>
      <c r="T61" s="36"/>
    </row>
    <row r="62" spans="1:20" ht="15.75">
      <c r="A62" s="13">
        <v>43374</v>
      </c>
      <c r="B62" s="44">
        <v>31</v>
      </c>
      <c r="C62" s="35">
        <v>131.881</v>
      </c>
      <c r="D62" s="35">
        <v>277.16699999999997</v>
      </c>
      <c r="E62" s="41">
        <v>829.952</v>
      </c>
      <c r="F62" s="35">
        <v>1239</v>
      </c>
      <c r="G62" s="35">
        <v>75</v>
      </c>
      <c r="H62" s="43">
        <v>400</v>
      </c>
      <c r="I62" s="35">
        <v>695</v>
      </c>
      <c r="J62" s="35">
        <v>0</v>
      </c>
      <c r="K62" s="36"/>
      <c r="L62" s="45"/>
      <c r="M62" s="36"/>
      <c r="N62" s="36"/>
      <c r="O62" s="36"/>
      <c r="P62" s="36"/>
      <c r="Q62" s="36"/>
      <c r="R62" s="36"/>
      <c r="S62" s="36"/>
      <c r="T62" s="36"/>
    </row>
    <row r="63" spans="1:20" ht="15.75">
      <c r="A63" s="13">
        <v>43405</v>
      </c>
      <c r="B63" s="44">
        <v>30</v>
      </c>
      <c r="C63" s="35">
        <v>122.58</v>
      </c>
      <c r="D63" s="35">
        <v>297.94099999999997</v>
      </c>
      <c r="E63" s="41">
        <v>729.47900000000004</v>
      </c>
      <c r="F63" s="35">
        <v>1150</v>
      </c>
      <c r="G63" s="35">
        <v>100</v>
      </c>
      <c r="H63" s="43">
        <v>400</v>
      </c>
      <c r="I63" s="35">
        <v>695</v>
      </c>
      <c r="J63" s="35">
        <v>50</v>
      </c>
      <c r="K63" s="36"/>
      <c r="L63" s="45"/>
      <c r="M63" s="36"/>
      <c r="N63" s="36"/>
      <c r="O63" s="36"/>
      <c r="P63" s="36"/>
      <c r="Q63" s="36"/>
      <c r="R63" s="36"/>
      <c r="S63" s="36"/>
      <c r="T63" s="36"/>
    </row>
    <row r="64" spans="1:20" ht="15.75">
      <c r="A64" s="13">
        <v>43435</v>
      </c>
      <c r="B64" s="44">
        <v>31</v>
      </c>
      <c r="C64" s="35">
        <v>122.58</v>
      </c>
      <c r="D64" s="35">
        <v>297.94099999999997</v>
      </c>
      <c r="E64" s="41">
        <v>729.47900000000004</v>
      </c>
      <c r="F64" s="35">
        <v>1150</v>
      </c>
      <c r="G64" s="35">
        <v>100</v>
      </c>
      <c r="H64" s="43">
        <v>400</v>
      </c>
      <c r="I64" s="35">
        <v>695</v>
      </c>
      <c r="J64" s="35">
        <v>50</v>
      </c>
      <c r="K64" s="36"/>
      <c r="L64" s="45"/>
      <c r="M64" s="36"/>
      <c r="N64" s="36"/>
      <c r="O64" s="36"/>
      <c r="P64" s="36"/>
      <c r="Q64" s="36"/>
      <c r="R64" s="36"/>
      <c r="S64" s="36"/>
      <c r="T64" s="36"/>
    </row>
    <row r="65" spans="1:20" ht="15.75">
      <c r="A65" s="13">
        <v>43466</v>
      </c>
      <c r="B65" s="44">
        <v>31</v>
      </c>
      <c r="C65" s="35">
        <v>122.58</v>
      </c>
      <c r="D65" s="35">
        <v>297.94099999999997</v>
      </c>
      <c r="E65" s="41">
        <v>729.47900000000004</v>
      </c>
      <c r="F65" s="35">
        <v>1150</v>
      </c>
      <c r="G65" s="35">
        <v>100</v>
      </c>
      <c r="H65" s="43">
        <v>400</v>
      </c>
      <c r="I65" s="35">
        <v>695</v>
      </c>
      <c r="J65" s="35">
        <v>50</v>
      </c>
      <c r="K65" s="36"/>
      <c r="L65" s="36"/>
      <c r="M65" s="36"/>
      <c r="N65" s="36"/>
      <c r="O65" s="36"/>
      <c r="P65" s="36"/>
      <c r="Q65" s="36"/>
      <c r="R65" s="36"/>
      <c r="S65" s="36"/>
      <c r="T65" s="36"/>
    </row>
    <row r="66" spans="1:20" ht="15.75">
      <c r="A66" s="13">
        <v>43497</v>
      </c>
      <c r="B66" s="44">
        <v>28</v>
      </c>
      <c r="C66" s="35">
        <v>122.58</v>
      </c>
      <c r="D66" s="35">
        <v>297.94099999999997</v>
      </c>
      <c r="E66" s="41">
        <v>729.47900000000004</v>
      </c>
      <c r="F66" s="35">
        <v>1150</v>
      </c>
      <c r="G66" s="35">
        <v>100</v>
      </c>
      <c r="H66" s="43">
        <v>400</v>
      </c>
      <c r="I66" s="35">
        <v>695</v>
      </c>
      <c r="J66" s="35">
        <v>50</v>
      </c>
      <c r="K66" s="36"/>
      <c r="L66" s="36"/>
      <c r="M66" s="36"/>
      <c r="N66" s="36"/>
      <c r="O66" s="36"/>
      <c r="P66" s="36"/>
      <c r="Q66" s="36"/>
      <c r="R66" s="36"/>
      <c r="S66" s="36"/>
      <c r="T66" s="36"/>
    </row>
    <row r="67" spans="1:20" ht="15.75">
      <c r="A67" s="13">
        <v>43525</v>
      </c>
      <c r="B67" s="44">
        <v>31</v>
      </c>
      <c r="C67" s="35">
        <v>122.58</v>
      </c>
      <c r="D67" s="35">
        <v>297.94099999999997</v>
      </c>
      <c r="E67" s="41">
        <v>729.47900000000004</v>
      </c>
      <c r="F67" s="35">
        <v>1150</v>
      </c>
      <c r="G67" s="35">
        <v>100</v>
      </c>
      <c r="H67" s="43">
        <v>400</v>
      </c>
      <c r="I67" s="35">
        <v>695</v>
      </c>
      <c r="J67" s="35">
        <v>50</v>
      </c>
      <c r="K67" s="36"/>
      <c r="L67" s="36"/>
      <c r="M67" s="36"/>
      <c r="N67" s="36"/>
      <c r="O67" s="36"/>
      <c r="P67" s="36"/>
      <c r="Q67" s="36"/>
      <c r="R67" s="36"/>
      <c r="S67" s="36"/>
      <c r="T67" s="36"/>
    </row>
    <row r="68" spans="1:20" ht="15.75">
      <c r="A68" s="13">
        <v>43556</v>
      </c>
      <c r="B68" s="44">
        <v>30</v>
      </c>
      <c r="C68" s="35">
        <v>141.29300000000001</v>
      </c>
      <c r="D68" s="35">
        <v>267.99299999999999</v>
      </c>
      <c r="E68" s="41">
        <v>829.71400000000006</v>
      </c>
      <c r="F68" s="35">
        <v>1239</v>
      </c>
      <c r="G68" s="35">
        <v>100</v>
      </c>
      <c r="H68" s="43">
        <v>400</v>
      </c>
      <c r="I68" s="35">
        <v>695</v>
      </c>
      <c r="J68" s="35">
        <v>50</v>
      </c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1:20" ht="15.75">
      <c r="A69" s="13">
        <v>43586</v>
      </c>
      <c r="B69" s="44">
        <v>31</v>
      </c>
      <c r="C69" s="35">
        <v>194.20500000000001</v>
      </c>
      <c r="D69" s="35">
        <v>267.46600000000001</v>
      </c>
      <c r="E69" s="41">
        <v>812.32899999999995</v>
      </c>
      <c r="F69" s="35">
        <v>1274</v>
      </c>
      <c r="G69" s="35">
        <v>75</v>
      </c>
      <c r="H69" s="43">
        <v>400</v>
      </c>
      <c r="I69" s="35">
        <v>695</v>
      </c>
      <c r="J69" s="35">
        <v>50</v>
      </c>
      <c r="K69" s="36"/>
      <c r="L69" s="36"/>
      <c r="M69" s="36"/>
      <c r="N69" s="36"/>
      <c r="O69" s="36"/>
      <c r="P69" s="36"/>
      <c r="Q69" s="36"/>
      <c r="R69" s="36"/>
      <c r="S69" s="36"/>
      <c r="T69" s="36"/>
    </row>
    <row r="70" spans="1:20" ht="15.75">
      <c r="A70" s="13">
        <v>43617</v>
      </c>
      <c r="B70" s="44">
        <v>30</v>
      </c>
      <c r="C70" s="35">
        <v>194.20500000000001</v>
      </c>
      <c r="D70" s="35">
        <v>267.46600000000001</v>
      </c>
      <c r="E70" s="41">
        <v>812.32899999999995</v>
      </c>
      <c r="F70" s="35">
        <v>1274</v>
      </c>
      <c r="G70" s="35">
        <v>50</v>
      </c>
      <c r="H70" s="43">
        <v>400</v>
      </c>
      <c r="I70" s="35">
        <v>695</v>
      </c>
      <c r="J70" s="35">
        <v>50</v>
      </c>
      <c r="K70" s="36"/>
      <c r="L70" s="36"/>
      <c r="M70" s="36"/>
      <c r="N70" s="36"/>
      <c r="O70" s="36"/>
      <c r="P70" s="36"/>
      <c r="Q70" s="36"/>
      <c r="R70" s="36"/>
      <c r="S70" s="36"/>
      <c r="T70" s="36"/>
    </row>
    <row r="71" spans="1:20" ht="15.75">
      <c r="A71" s="13">
        <v>43647</v>
      </c>
      <c r="B71" s="44">
        <v>31</v>
      </c>
      <c r="C71" s="35">
        <v>194.20500000000001</v>
      </c>
      <c r="D71" s="35">
        <v>267.46600000000001</v>
      </c>
      <c r="E71" s="41">
        <v>812.32899999999995</v>
      </c>
      <c r="F71" s="35">
        <v>1274</v>
      </c>
      <c r="G71" s="35">
        <v>50</v>
      </c>
      <c r="H71" s="43">
        <v>400</v>
      </c>
      <c r="I71" s="35">
        <v>695</v>
      </c>
      <c r="J71" s="35">
        <v>0</v>
      </c>
      <c r="K71" s="36"/>
      <c r="L71" s="36"/>
      <c r="M71" s="36"/>
      <c r="N71" s="36"/>
      <c r="O71" s="36"/>
      <c r="P71" s="36"/>
      <c r="Q71" s="36"/>
      <c r="R71" s="36"/>
      <c r="S71" s="36"/>
      <c r="T71" s="36"/>
    </row>
    <row r="72" spans="1:20" ht="15.75">
      <c r="A72" s="13">
        <v>43678</v>
      </c>
      <c r="B72" s="44">
        <v>31</v>
      </c>
      <c r="C72" s="35">
        <v>194.20500000000001</v>
      </c>
      <c r="D72" s="35">
        <v>267.46600000000001</v>
      </c>
      <c r="E72" s="41">
        <v>812.32899999999995</v>
      </c>
      <c r="F72" s="35">
        <v>1274</v>
      </c>
      <c r="G72" s="35">
        <v>50</v>
      </c>
      <c r="H72" s="43">
        <v>400</v>
      </c>
      <c r="I72" s="35">
        <v>695</v>
      </c>
      <c r="J72" s="35">
        <v>0</v>
      </c>
      <c r="K72" s="36"/>
      <c r="L72" s="36"/>
      <c r="M72" s="36"/>
      <c r="N72" s="36"/>
      <c r="O72" s="36"/>
      <c r="P72" s="36"/>
      <c r="Q72" s="36"/>
      <c r="R72" s="36"/>
      <c r="S72" s="36"/>
      <c r="T72" s="36"/>
    </row>
    <row r="73" spans="1:20" ht="15.75">
      <c r="A73" s="13">
        <v>43709</v>
      </c>
      <c r="B73" s="44">
        <v>30</v>
      </c>
      <c r="C73" s="35">
        <v>194.20500000000001</v>
      </c>
      <c r="D73" s="35">
        <v>267.46600000000001</v>
      </c>
      <c r="E73" s="41">
        <v>812.32899999999995</v>
      </c>
      <c r="F73" s="35">
        <v>1274</v>
      </c>
      <c r="G73" s="35">
        <v>50</v>
      </c>
      <c r="H73" s="43">
        <v>400</v>
      </c>
      <c r="I73" s="35">
        <v>695</v>
      </c>
      <c r="J73" s="35">
        <v>0</v>
      </c>
      <c r="K73" s="36"/>
      <c r="L73" s="36"/>
      <c r="M73" s="36"/>
      <c r="N73" s="36"/>
      <c r="O73" s="36"/>
      <c r="P73" s="36"/>
      <c r="Q73" s="36"/>
      <c r="R73" s="36"/>
      <c r="S73" s="36"/>
      <c r="T73" s="36"/>
    </row>
    <row r="74" spans="1:20" ht="15.75">
      <c r="A74" s="13">
        <v>43739</v>
      </c>
      <c r="B74" s="44">
        <v>31</v>
      </c>
      <c r="C74" s="35">
        <v>131.881</v>
      </c>
      <c r="D74" s="35">
        <v>277.16699999999997</v>
      </c>
      <c r="E74" s="41">
        <v>829.952</v>
      </c>
      <c r="F74" s="35">
        <v>1239</v>
      </c>
      <c r="G74" s="35">
        <v>75</v>
      </c>
      <c r="H74" s="43">
        <v>400</v>
      </c>
      <c r="I74" s="35">
        <v>695</v>
      </c>
      <c r="J74" s="35">
        <v>0</v>
      </c>
      <c r="K74" s="36"/>
      <c r="L74" s="36"/>
      <c r="M74" s="36"/>
      <c r="N74" s="36"/>
      <c r="O74" s="36"/>
      <c r="P74" s="36"/>
      <c r="Q74" s="36"/>
      <c r="R74" s="36"/>
      <c r="S74" s="36"/>
      <c r="T74" s="36"/>
    </row>
    <row r="75" spans="1:20" ht="15.75">
      <c r="A75" s="13">
        <v>43770</v>
      </c>
      <c r="B75" s="44">
        <v>30</v>
      </c>
      <c r="C75" s="35">
        <v>122.58</v>
      </c>
      <c r="D75" s="35">
        <v>297.94099999999997</v>
      </c>
      <c r="E75" s="41">
        <v>729.47900000000004</v>
      </c>
      <c r="F75" s="35">
        <v>1150</v>
      </c>
      <c r="G75" s="35">
        <v>100</v>
      </c>
      <c r="H75" s="43">
        <v>400</v>
      </c>
      <c r="I75" s="35">
        <v>695</v>
      </c>
      <c r="J75" s="35">
        <v>50</v>
      </c>
      <c r="K75" s="36"/>
      <c r="L75" s="36"/>
      <c r="M75" s="36"/>
      <c r="N75" s="36"/>
      <c r="O75" s="36"/>
      <c r="P75" s="36"/>
      <c r="Q75" s="36"/>
      <c r="R75" s="36"/>
      <c r="S75" s="36"/>
      <c r="T75" s="36"/>
    </row>
    <row r="76" spans="1:20" ht="15.75">
      <c r="A76" s="13">
        <v>43800</v>
      </c>
      <c r="B76" s="44">
        <v>31</v>
      </c>
      <c r="C76" s="35">
        <v>122.58</v>
      </c>
      <c r="D76" s="35">
        <v>297.94099999999997</v>
      </c>
      <c r="E76" s="41">
        <v>729.47900000000004</v>
      </c>
      <c r="F76" s="35">
        <v>1150</v>
      </c>
      <c r="G76" s="35">
        <v>100</v>
      </c>
      <c r="H76" s="43">
        <v>400</v>
      </c>
      <c r="I76" s="35">
        <v>695</v>
      </c>
      <c r="J76" s="35">
        <v>50</v>
      </c>
      <c r="K76" s="36"/>
      <c r="L76" s="36"/>
      <c r="M76" s="36"/>
      <c r="N76" s="36"/>
      <c r="O76" s="36"/>
      <c r="P76" s="36"/>
      <c r="Q76" s="36"/>
      <c r="R76" s="36"/>
      <c r="S76" s="36"/>
      <c r="T76" s="36"/>
    </row>
    <row r="77" spans="1:20" ht="15.75">
      <c r="A77" s="13">
        <v>43831</v>
      </c>
      <c r="B77" s="44">
        <v>31</v>
      </c>
      <c r="C77" s="35">
        <v>122.58</v>
      </c>
      <c r="D77" s="35">
        <v>297.94099999999997</v>
      </c>
      <c r="E77" s="41">
        <v>729.47900000000004</v>
      </c>
      <c r="F77" s="35">
        <v>1150</v>
      </c>
      <c r="G77" s="35">
        <v>100</v>
      </c>
      <c r="H77" s="43">
        <v>400</v>
      </c>
      <c r="I77" s="35">
        <v>695</v>
      </c>
      <c r="J77" s="35">
        <v>50</v>
      </c>
      <c r="K77" s="36"/>
      <c r="L77" s="36"/>
      <c r="M77" s="36"/>
      <c r="N77" s="36"/>
      <c r="O77" s="36"/>
      <c r="P77" s="36"/>
      <c r="Q77" s="36"/>
      <c r="R77" s="36"/>
      <c r="S77" s="36"/>
      <c r="T77" s="36"/>
    </row>
    <row r="78" spans="1:20" ht="15.75">
      <c r="A78" s="13">
        <v>43862</v>
      </c>
      <c r="B78" s="44">
        <v>29</v>
      </c>
      <c r="C78" s="35">
        <v>122.58</v>
      </c>
      <c r="D78" s="35">
        <v>297.94099999999997</v>
      </c>
      <c r="E78" s="41">
        <v>729.47900000000004</v>
      </c>
      <c r="F78" s="35">
        <v>1150</v>
      </c>
      <c r="G78" s="35">
        <v>100</v>
      </c>
      <c r="H78" s="43">
        <v>400</v>
      </c>
      <c r="I78" s="35">
        <v>695</v>
      </c>
      <c r="J78" s="35">
        <v>50</v>
      </c>
      <c r="K78" s="36"/>
      <c r="L78" s="36"/>
      <c r="M78" s="36"/>
      <c r="N78" s="36"/>
      <c r="O78" s="36"/>
      <c r="P78" s="36"/>
      <c r="Q78" s="36"/>
      <c r="R78" s="36"/>
      <c r="S78" s="36"/>
      <c r="T78" s="36"/>
    </row>
    <row r="79" spans="1:20" ht="15.75">
      <c r="A79" s="13">
        <v>43891</v>
      </c>
      <c r="B79" s="44">
        <v>31</v>
      </c>
      <c r="C79" s="35">
        <v>122.58</v>
      </c>
      <c r="D79" s="35">
        <v>297.94099999999997</v>
      </c>
      <c r="E79" s="41">
        <v>729.47900000000004</v>
      </c>
      <c r="F79" s="35">
        <v>1150</v>
      </c>
      <c r="G79" s="35">
        <v>100</v>
      </c>
      <c r="H79" s="43">
        <v>400</v>
      </c>
      <c r="I79" s="35">
        <v>695</v>
      </c>
      <c r="J79" s="35">
        <v>50</v>
      </c>
      <c r="K79" s="36"/>
      <c r="L79" s="36"/>
      <c r="M79" s="36"/>
      <c r="N79" s="36"/>
      <c r="O79" s="36"/>
      <c r="P79" s="36"/>
      <c r="Q79" s="36"/>
      <c r="R79" s="36"/>
      <c r="S79" s="36"/>
      <c r="T79" s="36"/>
    </row>
    <row r="80" spans="1:20" ht="15.75">
      <c r="A80" s="13">
        <v>43922</v>
      </c>
      <c r="B80" s="44">
        <v>30</v>
      </c>
      <c r="C80" s="35">
        <v>141.29300000000001</v>
      </c>
      <c r="D80" s="35">
        <v>267.99299999999999</v>
      </c>
      <c r="E80" s="41">
        <v>829.71400000000006</v>
      </c>
      <c r="F80" s="35">
        <v>1239</v>
      </c>
      <c r="G80" s="35">
        <v>100</v>
      </c>
      <c r="H80" s="43">
        <v>400</v>
      </c>
      <c r="I80" s="35">
        <v>695</v>
      </c>
      <c r="J80" s="35">
        <v>50</v>
      </c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0" ht="15.75">
      <c r="A81" s="13">
        <v>43952</v>
      </c>
      <c r="B81" s="44">
        <v>31</v>
      </c>
      <c r="C81" s="35">
        <v>194.20500000000001</v>
      </c>
      <c r="D81" s="35">
        <v>267.46600000000001</v>
      </c>
      <c r="E81" s="41">
        <v>812.32899999999995</v>
      </c>
      <c r="F81" s="35">
        <v>1274</v>
      </c>
      <c r="G81" s="35">
        <v>75</v>
      </c>
      <c r="H81" s="43">
        <v>600</v>
      </c>
      <c r="I81" s="35">
        <v>695</v>
      </c>
      <c r="J81" s="35">
        <v>50</v>
      </c>
      <c r="K81" s="36"/>
      <c r="L81" s="36"/>
      <c r="M81" s="36"/>
      <c r="N81" s="36"/>
      <c r="O81" s="36"/>
      <c r="P81" s="36"/>
      <c r="Q81" s="36"/>
      <c r="R81" s="36"/>
      <c r="S81" s="36"/>
      <c r="T81" s="36"/>
    </row>
    <row r="82" spans="1:20" ht="15.75">
      <c r="A82" s="13">
        <v>43983</v>
      </c>
      <c r="B82" s="44">
        <v>30</v>
      </c>
      <c r="C82" s="35">
        <v>194.20500000000001</v>
      </c>
      <c r="D82" s="35">
        <v>267.46600000000001</v>
      </c>
      <c r="E82" s="41">
        <v>812.32899999999995</v>
      </c>
      <c r="F82" s="35">
        <v>1274</v>
      </c>
      <c r="G82" s="35">
        <v>50</v>
      </c>
      <c r="H82" s="43">
        <v>600</v>
      </c>
      <c r="I82" s="35">
        <v>695</v>
      </c>
      <c r="J82" s="35">
        <v>50</v>
      </c>
      <c r="K82" s="36"/>
      <c r="L82" s="36"/>
      <c r="M82" s="36"/>
      <c r="N82" s="36"/>
      <c r="O82" s="36"/>
      <c r="P82" s="36"/>
      <c r="Q82" s="36"/>
      <c r="R82" s="36"/>
      <c r="S82" s="36"/>
      <c r="T82" s="36"/>
    </row>
    <row r="83" spans="1:20" ht="15.75">
      <c r="A83" s="13">
        <v>44013</v>
      </c>
      <c r="B83" s="44">
        <v>31</v>
      </c>
      <c r="C83" s="35">
        <v>194.20500000000001</v>
      </c>
      <c r="D83" s="35">
        <v>267.46600000000001</v>
      </c>
      <c r="E83" s="41">
        <v>812.32899999999995</v>
      </c>
      <c r="F83" s="35">
        <v>1274</v>
      </c>
      <c r="G83" s="35">
        <v>50</v>
      </c>
      <c r="H83" s="43">
        <v>600</v>
      </c>
      <c r="I83" s="35">
        <v>695</v>
      </c>
      <c r="J83" s="35">
        <v>0</v>
      </c>
      <c r="K83" s="36"/>
      <c r="L83" s="36"/>
      <c r="M83" s="36"/>
      <c r="N83" s="36"/>
      <c r="O83" s="36"/>
      <c r="P83" s="36"/>
      <c r="Q83" s="36"/>
      <c r="R83" s="36"/>
      <c r="S83" s="36"/>
      <c r="T83" s="36"/>
    </row>
    <row r="84" spans="1:20" ht="15.75">
      <c r="A84" s="13">
        <v>44044</v>
      </c>
      <c r="B84" s="44">
        <v>31</v>
      </c>
      <c r="C84" s="35">
        <v>194.20500000000001</v>
      </c>
      <c r="D84" s="35">
        <v>267.46600000000001</v>
      </c>
      <c r="E84" s="41">
        <v>812.32899999999995</v>
      </c>
      <c r="F84" s="35">
        <v>1274</v>
      </c>
      <c r="G84" s="35">
        <v>50</v>
      </c>
      <c r="H84" s="43">
        <v>600</v>
      </c>
      <c r="I84" s="35">
        <v>695</v>
      </c>
      <c r="J84" s="35">
        <v>0</v>
      </c>
      <c r="K84" s="36"/>
      <c r="L84" s="36"/>
      <c r="M84" s="36"/>
      <c r="N84" s="36"/>
      <c r="O84" s="36"/>
      <c r="P84" s="36"/>
      <c r="Q84" s="36"/>
      <c r="R84" s="36"/>
      <c r="S84" s="36"/>
      <c r="T84" s="36"/>
    </row>
    <row r="85" spans="1:20" ht="15.75">
      <c r="A85" s="13">
        <v>44075</v>
      </c>
      <c r="B85" s="44">
        <v>30</v>
      </c>
      <c r="C85" s="35">
        <v>194.20500000000001</v>
      </c>
      <c r="D85" s="35">
        <v>267.46600000000001</v>
      </c>
      <c r="E85" s="41">
        <v>812.32899999999995</v>
      </c>
      <c r="F85" s="35">
        <v>1274</v>
      </c>
      <c r="G85" s="35">
        <v>50</v>
      </c>
      <c r="H85" s="43">
        <v>600</v>
      </c>
      <c r="I85" s="35">
        <v>695</v>
      </c>
      <c r="J85" s="35">
        <v>0</v>
      </c>
      <c r="K85" s="36"/>
      <c r="L85" s="36"/>
      <c r="M85" s="36"/>
      <c r="N85" s="36"/>
      <c r="O85" s="36"/>
      <c r="P85" s="36"/>
      <c r="Q85" s="36"/>
      <c r="R85" s="36"/>
      <c r="S85" s="36"/>
      <c r="T85" s="36"/>
    </row>
    <row r="86" spans="1:20" ht="15.75">
      <c r="A86" s="13">
        <v>44105</v>
      </c>
      <c r="B86" s="44">
        <v>31</v>
      </c>
      <c r="C86" s="35">
        <v>131.881</v>
      </c>
      <c r="D86" s="35">
        <v>277.16699999999997</v>
      </c>
      <c r="E86" s="41">
        <v>829.952</v>
      </c>
      <c r="F86" s="35">
        <v>1239</v>
      </c>
      <c r="G86" s="35">
        <v>75</v>
      </c>
      <c r="H86" s="43">
        <v>600</v>
      </c>
      <c r="I86" s="35">
        <v>695</v>
      </c>
      <c r="J86" s="35">
        <v>0</v>
      </c>
      <c r="K86" s="36"/>
      <c r="L86" s="36"/>
      <c r="M86" s="36"/>
      <c r="N86" s="36"/>
      <c r="O86" s="36"/>
      <c r="P86" s="36"/>
      <c r="Q86" s="36"/>
      <c r="R86" s="36"/>
      <c r="S86" s="36"/>
      <c r="T86" s="36"/>
    </row>
    <row r="87" spans="1:20" ht="15.75">
      <c r="A87" s="13">
        <v>44136</v>
      </c>
      <c r="B87" s="44">
        <v>30</v>
      </c>
      <c r="C87" s="35">
        <v>122.58</v>
      </c>
      <c r="D87" s="35">
        <v>297.94099999999997</v>
      </c>
      <c r="E87" s="41">
        <v>729.47900000000004</v>
      </c>
      <c r="F87" s="35">
        <v>1150</v>
      </c>
      <c r="G87" s="35">
        <v>100</v>
      </c>
      <c r="H87" s="43">
        <v>600</v>
      </c>
      <c r="I87" s="35">
        <v>695</v>
      </c>
      <c r="J87" s="35">
        <v>50</v>
      </c>
      <c r="K87" s="36"/>
      <c r="L87" s="36"/>
      <c r="M87" s="36"/>
      <c r="N87" s="36"/>
      <c r="O87" s="36"/>
      <c r="P87" s="36"/>
      <c r="Q87" s="36"/>
      <c r="R87" s="36"/>
      <c r="S87" s="36"/>
      <c r="T87" s="36"/>
    </row>
    <row r="88" spans="1:20" ht="15.75">
      <c r="A88" s="13">
        <v>44166</v>
      </c>
      <c r="B88" s="44">
        <v>31</v>
      </c>
      <c r="C88" s="35">
        <v>122.58</v>
      </c>
      <c r="D88" s="35">
        <v>297.94099999999997</v>
      </c>
      <c r="E88" s="41">
        <v>729.47900000000004</v>
      </c>
      <c r="F88" s="35">
        <v>1150</v>
      </c>
      <c r="G88" s="35">
        <v>100</v>
      </c>
      <c r="H88" s="43">
        <v>600</v>
      </c>
      <c r="I88" s="35">
        <v>695</v>
      </c>
      <c r="J88" s="35">
        <v>50</v>
      </c>
      <c r="K88" s="36"/>
      <c r="L88" s="36"/>
      <c r="M88" s="36"/>
      <c r="N88" s="36"/>
      <c r="O88" s="36"/>
      <c r="P88" s="36"/>
      <c r="Q88" s="36"/>
      <c r="R88" s="36"/>
      <c r="S88" s="36"/>
      <c r="T88" s="36"/>
    </row>
    <row r="89" spans="1:20" ht="15.75">
      <c r="A89" s="13">
        <v>44197</v>
      </c>
      <c r="B89" s="44">
        <v>31</v>
      </c>
      <c r="C89" s="35">
        <v>122.58</v>
      </c>
      <c r="D89" s="35">
        <v>297.94099999999997</v>
      </c>
      <c r="E89" s="41">
        <v>729.47900000000004</v>
      </c>
      <c r="F89" s="35">
        <v>1150</v>
      </c>
      <c r="G89" s="35">
        <v>100</v>
      </c>
      <c r="H89" s="43">
        <v>600</v>
      </c>
      <c r="I89" s="35">
        <v>695</v>
      </c>
      <c r="J89" s="35">
        <v>50</v>
      </c>
      <c r="K89" s="36"/>
      <c r="L89" s="36"/>
      <c r="M89" s="36"/>
      <c r="N89" s="36"/>
      <c r="O89" s="36"/>
      <c r="P89" s="36"/>
      <c r="Q89" s="36"/>
      <c r="R89" s="36"/>
      <c r="S89" s="36"/>
      <c r="T89" s="36"/>
    </row>
    <row r="90" spans="1:20" ht="15.75">
      <c r="A90" s="13">
        <v>44228</v>
      </c>
      <c r="B90" s="44">
        <v>28</v>
      </c>
      <c r="C90" s="35">
        <v>122.58</v>
      </c>
      <c r="D90" s="35">
        <v>297.94099999999997</v>
      </c>
      <c r="E90" s="41">
        <v>729.47900000000004</v>
      </c>
      <c r="F90" s="35">
        <v>1150</v>
      </c>
      <c r="G90" s="35">
        <v>100</v>
      </c>
      <c r="H90" s="43">
        <v>600</v>
      </c>
      <c r="I90" s="35">
        <v>695</v>
      </c>
      <c r="J90" s="35">
        <v>50</v>
      </c>
      <c r="K90" s="36"/>
      <c r="L90" s="36"/>
      <c r="M90" s="36"/>
      <c r="N90" s="36"/>
      <c r="O90" s="36"/>
      <c r="P90" s="36"/>
      <c r="Q90" s="36"/>
      <c r="R90" s="36"/>
      <c r="S90" s="36"/>
      <c r="T90" s="36"/>
    </row>
    <row r="91" spans="1:20" ht="15.75">
      <c r="A91" s="13">
        <v>44256</v>
      </c>
      <c r="B91" s="44">
        <v>31</v>
      </c>
      <c r="C91" s="35">
        <v>122.58</v>
      </c>
      <c r="D91" s="35">
        <v>297.94099999999997</v>
      </c>
      <c r="E91" s="41">
        <v>729.47900000000004</v>
      </c>
      <c r="F91" s="35">
        <v>1150</v>
      </c>
      <c r="G91" s="35">
        <v>100</v>
      </c>
      <c r="H91" s="43">
        <v>600</v>
      </c>
      <c r="I91" s="35">
        <v>695</v>
      </c>
      <c r="J91" s="35">
        <v>50</v>
      </c>
      <c r="K91" s="36"/>
      <c r="L91" s="36"/>
      <c r="M91" s="36"/>
      <c r="N91" s="36"/>
      <c r="O91" s="36"/>
      <c r="P91" s="36"/>
      <c r="Q91" s="36"/>
      <c r="R91" s="36"/>
      <c r="S91" s="36"/>
      <c r="T91" s="36"/>
    </row>
    <row r="92" spans="1:20" ht="15.75">
      <c r="A92" s="13">
        <v>44287</v>
      </c>
      <c r="B92" s="44">
        <v>30</v>
      </c>
      <c r="C92" s="35">
        <v>141.29300000000001</v>
      </c>
      <c r="D92" s="35">
        <v>267.99299999999999</v>
      </c>
      <c r="E92" s="41">
        <v>829.71400000000006</v>
      </c>
      <c r="F92" s="35">
        <v>1239</v>
      </c>
      <c r="G92" s="35">
        <v>100</v>
      </c>
      <c r="H92" s="43">
        <v>600</v>
      </c>
      <c r="I92" s="35">
        <v>695</v>
      </c>
      <c r="J92" s="35">
        <v>50</v>
      </c>
      <c r="K92" s="36"/>
      <c r="L92" s="36"/>
      <c r="M92" s="36"/>
      <c r="N92" s="36"/>
      <c r="O92" s="36"/>
      <c r="P92" s="36"/>
      <c r="Q92" s="36"/>
      <c r="R92" s="36"/>
      <c r="S92" s="36"/>
      <c r="T92" s="36"/>
    </row>
    <row r="93" spans="1:20" ht="15.75">
      <c r="A93" s="13">
        <v>44317</v>
      </c>
      <c r="B93" s="44">
        <v>31</v>
      </c>
      <c r="C93" s="35">
        <v>194.20500000000001</v>
      </c>
      <c r="D93" s="35">
        <v>267.46600000000001</v>
      </c>
      <c r="E93" s="41">
        <v>812.32899999999995</v>
      </c>
      <c r="F93" s="35">
        <v>1274</v>
      </c>
      <c r="G93" s="35">
        <v>75</v>
      </c>
      <c r="H93" s="43">
        <v>600</v>
      </c>
      <c r="I93" s="35">
        <v>695</v>
      </c>
      <c r="J93" s="35">
        <v>50</v>
      </c>
      <c r="K93" s="36"/>
      <c r="L93" s="36"/>
      <c r="M93" s="36"/>
      <c r="N93" s="36"/>
      <c r="O93" s="36"/>
      <c r="P93" s="36"/>
      <c r="Q93" s="36"/>
      <c r="R93" s="36"/>
      <c r="S93" s="36"/>
      <c r="T93" s="36"/>
    </row>
    <row r="94" spans="1:20" ht="15.75">
      <c r="A94" s="13">
        <v>44348</v>
      </c>
      <c r="B94" s="44">
        <v>30</v>
      </c>
      <c r="C94" s="35">
        <v>194.20500000000001</v>
      </c>
      <c r="D94" s="35">
        <v>267.46600000000001</v>
      </c>
      <c r="E94" s="41">
        <v>812.32899999999995</v>
      </c>
      <c r="F94" s="35">
        <v>1274</v>
      </c>
      <c r="G94" s="35">
        <v>50</v>
      </c>
      <c r="H94" s="43">
        <v>600</v>
      </c>
      <c r="I94" s="35">
        <v>695</v>
      </c>
      <c r="J94" s="35">
        <v>50</v>
      </c>
      <c r="K94" s="36"/>
      <c r="L94" s="36"/>
      <c r="M94" s="36"/>
      <c r="N94" s="36"/>
      <c r="O94" s="36"/>
      <c r="P94" s="36"/>
      <c r="Q94" s="36"/>
      <c r="R94" s="36"/>
      <c r="S94" s="36"/>
      <c r="T94" s="36"/>
    </row>
    <row r="95" spans="1:20" ht="15.75">
      <c r="A95" s="13">
        <v>44378</v>
      </c>
      <c r="B95" s="44">
        <v>31</v>
      </c>
      <c r="C95" s="35">
        <v>194.20500000000001</v>
      </c>
      <c r="D95" s="35">
        <v>267.46600000000001</v>
      </c>
      <c r="E95" s="41">
        <v>812.32899999999995</v>
      </c>
      <c r="F95" s="35">
        <v>1274</v>
      </c>
      <c r="G95" s="35">
        <v>50</v>
      </c>
      <c r="H95" s="43">
        <v>600</v>
      </c>
      <c r="I95" s="35">
        <v>695</v>
      </c>
      <c r="J95" s="35">
        <v>0</v>
      </c>
      <c r="K95" s="36"/>
      <c r="L95" s="36"/>
      <c r="M95" s="36"/>
      <c r="N95" s="36"/>
      <c r="O95" s="36"/>
      <c r="P95" s="36"/>
      <c r="Q95" s="36"/>
      <c r="R95" s="36"/>
      <c r="S95" s="36"/>
      <c r="T95" s="36"/>
    </row>
    <row r="96" spans="1:20" ht="15.75">
      <c r="A96" s="13">
        <v>44409</v>
      </c>
      <c r="B96" s="44">
        <v>31</v>
      </c>
      <c r="C96" s="35">
        <v>194.20500000000001</v>
      </c>
      <c r="D96" s="35">
        <v>267.46600000000001</v>
      </c>
      <c r="E96" s="41">
        <v>812.32899999999995</v>
      </c>
      <c r="F96" s="35">
        <v>1274</v>
      </c>
      <c r="G96" s="35">
        <v>50</v>
      </c>
      <c r="H96" s="43">
        <v>600</v>
      </c>
      <c r="I96" s="35">
        <v>695</v>
      </c>
      <c r="J96" s="35">
        <v>0</v>
      </c>
      <c r="K96" s="36"/>
      <c r="L96" s="36"/>
      <c r="M96" s="36"/>
      <c r="N96" s="36"/>
      <c r="O96" s="36"/>
      <c r="P96" s="36"/>
      <c r="Q96" s="36"/>
      <c r="R96" s="36"/>
      <c r="S96" s="36"/>
      <c r="T96" s="36"/>
    </row>
    <row r="97" spans="1:20" ht="15.75">
      <c r="A97" s="13">
        <v>44440</v>
      </c>
      <c r="B97" s="44">
        <v>30</v>
      </c>
      <c r="C97" s="35">
        <v>194.20500000000001</v>
      </c>
      <c r="D97" s="35">
        <v>267.46600000000001</v>
      </c>
      <c r="E97" s="41">
        <v>812.32899999999995</v>
      </c>
      <c r="F97" s="35">
        <v>1274</v>
      </c>
      <c r="G97" s="35">
        <v>50</v>
      </c>
      <c r="H97" s="43">
        <v>600</v>
      </c>
      <c r="I97" s="35">
        <v>695</v>
      </c>
      <c r="J97" s="35">
        <v>0</v>
      </c>
      <c r="K97" s="36"/>
      <c r="L97" s="36"/>
      <c r="M97" s="36"/>
      <c r="N97" s="36"/>
      <c r="O97" s="36"/>
      <c r="P97" s="36"/>
      <c r="Q97" s="36"/>
      <c r="R97" s="36"/>
      <c r="S97" s="36"/>
      <c r="T97" s="36"/>
    </row>
    <row r="98" spans="1:20" ht="15.75">
      <c r="A98" s="13">
        <v>44470</v>
      </c>
      <c r="B98" s="44">
        <v>31</v>
      </c>
      <c r="C98" s="35">
        <v>131.881</v>
      </c>
      <c r="D98" s="35">
        <v>277.16699999999997</v>
      </c>
      <c r="E98" s="41">
        <v>829.952</v>
      </c>
      <c r="F98" s="35">
        <v>1239</v>
      </c>
      <c r="G98" s="35">
        <v>75</v>
      </c>
      <c r="H98" s="43">
        <v>600</v>
      </c>
      <c r="I98" s="35">
        <v>695</v>
      </c>
      <c r="J98" s="35">
        <v>0</v>
      </c>
      <c r="K98" s="36"/>
      <c r="L98" s="36"/>
      <c r="M98" s="36"/>
      <c r="N98" s="36"/>
      <c r="O98" s="36"/>
      <c r="P98" s="36"/>
      <c r="Q98" s="36"/>
      <c r="R98" s="36"/>
      <c r="S98" s="36"/>
      <c r="T98" s="36"/>
    </row>
    <row r="99" spans="1:20" ht="15.75">
      <c r="A99" s="13">
        <v>44501</v>
      </c>
      <c r="B99" s="44">
        <v>30</v>
      </c>
      <c r="C99" s="35">
        <v>122.58</v>
      </c>
      <c r="D99" s="35">
        <v>297.94099999999997</v>
      </c>
      <c r="E99" s="41">
        <v>729.47900000000004</v>
      </c>
      <c r="F99" s="35">
        <v>1150</v>
      </c>
      <c r="G99" s="35">
        <v>100</v>
      </c>
      <c r="H99" s="43">
        <v>600</v>
      </c>
      <c r="I99" s="35">
        <v>695</v>
      </c>
      <c r="J99" s="35">
        <v>50</v>
      </c>
      <c r="K99" s="36"/>
      <c r="L99" s="36"/>
      <c r="M99" s="36"/>
      <c r="N99" s="36"/>
      <c r="O99" s="36"/>
      <c r="P99" s="36"/>
      <c r="Q99" s="36"/>
      <c r="R99" s="36"/>
      <c r="S99" s="36"/>
      <c r="T99" s="36"/>
    </row>
    <row r="100" spans="1:20" ht="15.75">
      <c r="A100" s="13">
        <v>44531</v>
      </c>
      <c r="B100" s="44">
        <v>31</v>
      </c>
      <c r="C100" s="35">
        <v>122.58</v>
      </c>
      <c r="D100" s="35">
        <v>297.94099999999997</v>
      </c>
      <c r="E100" s="41">
        <v>729.47900000000004</v>
      </c>
      <c r="F100" s="35">
        <v>1150</v>
      </c>
      <c r="G100" s="35">
        <v>100</v>
      </c>
      <c r="H100" s="43">
        <v>600</v>
      </c>
      <c r="I100" s="35">
        <v>695</v>
      </c>
      <c r="J100" s="35">
        <v>50</v>
      </c>
      <c r="K100" s="36"/>
      <c r="L100" s="36"/>
      <c r="M100" s="36"/>
      <c r="N100" s="36"/>
      <c r="O100" s="36"/>
      <c r="P100" s="36"/>
      <c r="Q100" s="36"/>
      <c r="R100" s="36"/>
      <c r="S100" s="36"/>
      <c r="T100" s="36"/>
    </row>
    <row r="101" spans="1:20" ht="15.75">
      <c r="A101" s="13">
        <v>44562</v>
      </c>
      <c r="B101" s="44">
        <v>31</v>
      </c>
      <c r="C101" s="35">
        <v>122.58</v>
      </c>
      <c r="D101" s="35">
        <v>297.94099999999997</v>
      </c>
      <c r="E101" s="41">
        <v>729.47900000000004</v>
      </c>
      <c r="F101" s="35">
        <v>1150</v>
      </c>
      <c r="G101" s="35">
        <v>100</v>
      </c>
      <c r="H101" s="43">
        <v>600</v>
      </c>
      <c r="I101" s="35">
        <v>695</v>
      </c>
      <c r="J101" s="35">
        <v>50</v>
      </c>
      <c r="K101" s="36"/>
      <c r="L101" s="36"/>
      <c r="M101" s="36"/>
      <c r="N101" s="36"/>
      <c r="O101" s="36"/>
      <c r="P101" s="36"/>
      <c r="Q101" s="36"/>
      <c r="R101" s="36"/>
      <c r="S101" s="36"/>
      <c r="T101" s="36"/>
    </row>
    <row r="102" spans="1:20" ht="15.75">
      <c r="A102" s="13">
        <v>44593</v>
      </c>
      <c r="B102" s="44">
        <v>28</v>
      </c>
      <c r="C102" s="35">
        <v>122.58</v>
      </c>
      <c r="D102" s="35">
        <v>297.94099999999997</v>
      </c>
      <c r="E102" s="41">
        <v>729.47900000000004</v>
      </c>
      <c r="F102" s="35">
        <v>1150</v>
      </c>
      <c r="G102" s="35">
        <v>100</v>
      </c>
      <c r="H102" s="43">
        <v>600</v>
      </c>
      <c r="I102" s="35">
        <v>695</v>
      </c>
      <c r="J102" s="35">
        <v>50</v>
      </c>
      <c r="K102" s="36"/>
      <c r="L102" s="36"/>
      <c r="M102" s="36"/>
      <c r="N102" s="36"/>
      <c r="O102" s="36"/>
      <c r="P102" s="36"/>
      <c r="Q102" s="36"/>
      <c r="R102" s="36"/>
      <c r="S102" s="36"/>
      <c r="T102" s="36"/>
    </row>
    <row r="103" spans="1:20" ht="15.75">
      <c r="A103" s="13">
        <v>44621</v>
      </c>
      <c r="B103" s="44">
        <v>31</v>
      </c>
      <c r="C103" s="35">
        <v>122.58</v>
      </c>
      <c r="D103" s="35">
        <v>297.94099999999997</v>
      </c>
      <c r="E103" s="41">
        <v>729.47900000000004</v>
      </c>
      <c r="F103" s="35">
        <v>1150</v>
      </c>
      <c r="G103" s="35">
        <v>100</v>
      </c>
      <c r="H103" s="43">
        <v>600</v>
      </c>
      <c r="I103" s="35">
        <v>695</v>
      </c>
      <c r="J103" s="35">
        <v>50</v>
      </c>
      <c r="K103" s="36"/>
      <c r="L103" s="36"/>
      <c r="M103" s="36"/>
      <c r="N103" s="36"/>
      <c r="O103" s="36"/>
      <c r="P103" s="36"/>
      <c r="Q103" s="36"/>
      <c r="R103" s="36"/>
      <c r="S103" s="36"/>
      <c r="T103" s="36"/>
    </row>
    <row r="104" spans="1:20" ht="15.75">
      <c r="A104" s="13">
        <v>44652</v>
      </c>
      <c r="B104" s="44">
        <v>30</v>
      </c>
      <c r="C104" s="35">
        <v>141.29300000000001</v>
      </c>
      <c r="D104" s="35">
        <v>267.99299999999999</v>
      </c>
      <c r="E104" s="41">
        <v>829.71400000000006</v>
      </c>
      <c r="F104" s="35">
        <v>1239</v>
      </c>
      <c r="G104" s="35">
        <v>100</v>
      </c>
      <c r="H104" s="43">
        <v>600</v>
      </c>
      <c r="I104" s="35">
        <v>695</v>
      </c>
      <c r="J104" s="35">
        <v>50</v>
      </c>
      <c r="K104" s="36"/>
      <c r="L104" s="36"/>
      <c r="M104" s="36"/>
      <c r="N104" s="36"/>
      <c r="O104" s="36"/>
      <c r="P104" s="36"/>
      <c r="Q104" s="36"/>
      <c r="R104" s="36"/>
      <c r="S104" s="36"/>
      <c r="T104" s="36"/>
    </row>
    <row r="105" spans="1:20" ht="15.75">
      <c r="A105" s="13">
        <v>44682</v>
      </c>
      <c r="B105" s="44">
        <v>31</v>
      </c>
      <c r="C105" s="35">
        <v>194.20500000000001</v>
      </c>
      <c r="D105" s="35">
        <v>267.46600000000001</v>
      </c>
      <c r="E105" s="41">
        <v>812.32899999999995</v>
      </c>
      <c r="F105" s="35">
        <v>1274</v>
      </c>
      <c r="G105" s="35">
        <v>75</v>
      </c>
      <c r="H105" s="43">
        <v>600</v>
      </c>
      <c r="I105" s="35">
        <v>695</v>
      </c>
      <c r="J105" s="35">
        <v>50</v>
      </c>
      <c r="K105" s="36"/>
      <c r="L105" s="36"/>
      <c r="M105" s="36"/>
      <c r="N105" s="36"/>
      <c r="O105" s="36"/>
      <c r="P105" s="36"/>
      <c r="Q105" s="36"/>
      <c r="R105" s="36"/>
      <c r="S105" s="36"/>
      <c r="T105" s="36"/>
    </row>
    <row r="106" spans="1:20" ht="15.75">
      <c r="A106" s="13">
        <v>44713</v>
      </c>
      <c r="B106" s="44">
        <v>30</v>
      </c>
      <c r="C106" s="35">
        <v>194.20500000000001</v>
      </c>
      <c r="D106" s="35">
        <v>267.46600000000001</v>
      </c>
      <c r="E106" s="41">
        <v>812.32899999999995</v>
      </c>
      <c r="F106" s="35">
        <v>1274</v>
      </c>
      <c r="G106" s="35">
        <v>50</v>
      </c>
      <c r="H106" s="43">
        <v>600</v>
      </c>
      <c r="I106" s="35">
        <v>695</v>
      </c>
      <c r="J106" s="35">
        <v>50</v>
      </c>
      <c r="K106" s="36"/>
      <c r="L106" s="36"/>
      <c r="M106" s="36"/>
      <c r="N106" s="36"/>
      <c r="O106" s="36"/>
      <c r="P106" s="36"/>
      <c r="Q106" s="36"/>
      <c r="R106" s="36"/>
      <c r="S106" s="36"/>
      <c r="T106" s="36"/>
    </row>
    <row r="107" spans="1:20" ht="15.75">
      <c r="A107" s="13">
        <v>44743</v>
      </c>
      <c r="B107" s="44">
        <v>31</v>
      </c>
      <c r="C107" s="35">
        <v>194.20500000000001</v>
      </c>
      <c r="D107" s="35">
        <v>267.46600000000001</v>
      </c>
      <c r="E107" s="41">
        <v>812.32899999999995</v>
      </c>
      <c r="F107" s="35">
        <v>1274</v>
      </c>
      <c r="G107" s="35">
        <v>50</v>
      </c>
      <c r="H107" s="43">
        <v>600</v>
      </c>
      <c r="I107" s="35">
        <v>695</v>
      </c>
      <c r="J107" s="35">
        <v>0</v>
      </c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ht="15.75">
      <c r="A108" s="13">
        <v>44774</v>
      </c>
      <c r="B108" s="44">
        <v>31</v>
      </c>
      <c r="C108" s="35">
        <v>194.20500000000001</v>
      </c>
      <c r="D108" s="35">
        <v>267.46600000000001</v>
      </c>
      <c r="E108" s="41">
        <v>812.32899999999995</v>
      </c>
      <c r="F108" s="35">
        <v>1274</v>
      </c>
      <c r="G108" s="35">
        <v>50</v>
      </c>
      <c r="H108" s="43">
        <v>600</v>
      </c>
      <c r="I108" s="35">
        <v>695</v>
      </c>
      <c r="J108" s="35">
        <v>0</v>
      </c>
      <c r="K108" s="36"/>
      <c r="L108" s="36"/>
      <c r="M108" s="36"/>
      <c r="N108" s="36"/>
      <c r="O108" s="36"/>
      <c r="P108" s="36"/>
      <c r="Q108" s="36"/>
      <c r="R108" s="36"/>
      <c r="S108" s="36"/>
      <c r="T108" s="36"/>
    </row>
    <row r="109" spans="1:20" ht="15.75">
      <c r="A109" s="13">
        <v>44805</v>
      </c>
      <c r="B109" s="44">
        <v>30</v>
      </c>
      <c r="C109" s="35">
        <v>194.20500000000001</v>
      </c>
      <c r="D109" s="35">
        <v>267.46600000000001</v>
      </c>
      <c r="E109" s="41">
        <v>812.32899999999995</v>
      </c>
      <c r="F109" s="35">
        <v>1274</v>
      </c>
      <c r="G109" s="35">
        <v>50</v>
      </c>
      <c r="H109" s="43">
        <v>600</v>
      </c>
      <c r="I109" s="35">
        <v>695</v>
      </c>
      <c r="J109" s="35">
        <v>0</v>
      </c>
      <c r="K109" s="36"/>
      <c r="L109" s="36"/>
      <c r="M109" s="36"/>
      <c r="N109" s="36"/>
      <c r="O109" s="36"/>
      <c r="P109" s="36"/>
      <c r="Q109" s="36"/>
      <c r="R109" s="36"/>
      <c r="S109" s="36"/>
      <c r="T109" s="36"/>
    </row>
    <row r="110" spans="1:20" ht="15.75">
      <c r="A110" s="13">
        <v>44835</v>
      </c>
      <c r="B110" s="44">
        <v>31</v>
      </c>
      <c r="C110" s="35">
        <v>131.881</v>
      </c>
      <c r="D110" s="35">
        <v>277.16699999999997</v>
      </c>
      <c r="E110" s="41">
        <v>829.952</v>
      </c>
      <c r="F110" s="35">
        <v>1239</v>
      </c>
      <c r="G110" s="35">
        <v>75</v>
      </c>
      <c r="H110" s="43">
        <v>600</v>
      </c>
      <c r="I110" s="35">
        <v>695</v>
      </c>
      <c r="J110" s="35">
        <v>0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</row>
    <row r="111" spans="1:20" ht="15.75">
      <c r="A111" s="13">
        <v>44866</v>
      </c>
      <c r="B111" s="44">
        <v>30</v>
      </c>
      <c r="C111" s="35">
        <v>122.58</v>
      </c>
      <c r="D111" s="35">
        <v>297.94099999999997</v>
      </c>
      <c r="E111" s="41">
        <v>729.47900000000004</v>
      </c>
      <c r="F111" s="35">
        <v>1150</v>
      </c>
      <c r="G111" s="35">
        <v>100</v>
      </c>
      <c r="H111" s="43">
        <v>600</v>
      </c>
      <c r="I111" s="35">
        <v>695</v>
      </c>
      <c r="J111" s="35">
        <v>50</v>
      </c>
      <c r="K111" s="36"/>
      <c r="L111" s="36"/>
      <c r="M111" s="36"/>
      <c r="N111" s="36"/>
      <c r="O111" s="36"/>
      <c r="P111" s="36"/>
      <c r="Q111" s="36"/>
      <c r="R111" s="36"/>
      <c r="S111" s="36"/>
      <c r="T111" s="36"/>
    </row>
    <row r="112" spans="1:20" ht="15.75">
      <c r="A112" s="13">
        <v>44896</v>
      </c>
      <c r="B112" s="44">
        <v>31</v>
      </c>
      <c r="C112" s="35">
        <v>122.58</v>
      </c>
      <c r="D112" s="35">
        <v>297.94099999999997</v>
      </c>
      <c r="E112" s="41">
        <v>729.47900000000004</v>
      </c>
      <c r="F112" s="35">
        <v>1150</v>
      </c>
      <c r="G112" s="35">
        <v>100</v>
      </c>
      <c r="H112" s="43">
        <v>600</v>
      </c>
      <c r="I112" s="35">
        <v>695</v>
      </c>
      <c r="J112" s="35">
        <v>50</v>
      </c>
      <c r="K112" s="36"/>
      <c r="L112" s="36"/>
      <c r="M112" s="36"/>
      <c r="N112" s="36"/>
      <c r="O112" s="36"/>
      <c r="P112" s="36"/>
      <c r="Q112" s="36"/>
      <c r="R112" s="36"/>
      <c r="S112" s="36"/>
      <c r="T112" s="36"/>
    </row>
    <row r="113" spans="1:20" ht="15.75">
      <c r="A113" s="13">
        <v>44927</v>
      </c>
      <c r="B113" s="44">
        <v>31</v>
      </c>
      <c r="C113" s="35">
        <v>122.58</v>
      </c>
      <c r="D113" s="35">
        <v>297.94099999999997</v>
      </c>
      <c r="E113" s="41">
        <v>729.47900000000004</v>
      </c>
      <c r="F113" s="35">
        <v>1150</v>
      </c>
      <c r="G113" s="35">
        <v>100</v>
      </c>
      <c r="H113" s="43">
        <v>600</v>
      </c>
      <c r="I113" s="35">
        <v>695</v>
      </c>
      <c r="J113" s="35">
        <v>50</v>
      </c>
      <c r="K113" s="36"/>
      <c r="L113" s="36"/>
      <c r="M113" s="36"/>
      <c r="N113" s="36"/>
      <c r="O113" s="36"/>
      <c r="P113" s="36"/>
      <c r="Q113" s="36"/>
      <c r="R113" s="36"/>
      <c r="S113" s="36"/>
      <c r="T113" s="36"/>
    </row>
    <row r="114" spans="1:20" ht="15.75">
      <c r="A114" s="13">
        <v>44958</v>
      </c>
      <c r="B114" s="44">
        <v>28</v>
      </c>
      <c r="C114" s="35">
        <v>122.58</v>
      </c>
      <c r="D114" s="35">
        <v>297.94099999999997</v>
      </c>
      <c r="E114" s="41">
        <v>729.47900000000004</v>
      </c>
      <c r="F114" s="35">
        <v>1150</v>
      </c>
      <c r="G114" s="35">
        <v>100</v>
      </c>
      <c r="H114" s="43">
        <v>600</v>
      </c>
      <c r="I114" s="35">
        <v>695</v>
      </c>
      <c r="J114" s="35">
        <v>50</v>
      </c>
      <c r="K114" s="36"/>
      <c r="L114" s="36"/>
      <c r="M114" s="36"/>
      <c r="N114" s="36"/>
      <c r="O114" s="36"/>
      <c r="P114" s="36"/>
      <c r="Q114" s="36"/>
      <c r="R114" s="36"/>
      <c r="S114" s="36"/>
      <c r="T114" s="36"/>
    </row>
    <row r="115" spans="1:20" ht="15.75">
      <c r="A115" s="13">
        <v>44986</v>
      </c>
      <c r="B115" s="44">
        <v>31</v>
      </c>
      <c r="C115" s="35">
        <v>122.58</v>
      </c>
      <c r="D115" s="35">
        <v>297.94099999999997</v>
      </c>
      <c r="E115" s="41">
        <v>729.47900000000004</v>
      </c>
      <c r="F115" s="35">
        <v>1150</v>
      </c>
      <c r="G115" s="35">
        <v>100</v>
      </c>
      <c r="H115" s="43">
        <v>600</v>
      </c>
      <c r="I115" s="35">
        <v>695</v>
      </c>
      <c r="J115" s="35">
        <v>50</v>
      </c>
      <c r="K115" s="36"/>
      <c r="L115" s="36"/>
      <c r="M115" s="36"/>
      <c r="N115" s="36"/>
      <c r="O115" s="36"/>
      <c r="P115" s="36"/>
      <c r="Q115" s="36"/>
      <c r="R115" s="36"/>
      <c r="S115" s="36"/>
      <c r="T115" s="36"/>
    </row>
    <row r="116" spans="1:20" ht="15.75">
      <c r="A116" s="13">
        <v>45017</v>
      </c>
      <c r="B116" s="44">
        <v>30</v>
      </c>
      <c r="C116" s="35">
        <v>141.29300000000001</v>
      </c>
      <c r="D116" s="35">
        <v>267.99299999999999</v>
      </c>
      <c r="E116" s="41">
        <v>829.71400000000006</v>
      </c>
      <c r="F116" s="35">
        <v>1239</v>
      </c>
      <c r="G116" s="35">
        <v>100</v>
      </c>
      <c r="H116" s="43">
        <v>600</v>
      </c>
      <c r="I116" s="35">
        <v>695</v>
      </c>
      <c r="J116" s="35">
        <v>50</v>
      </c>
      <c r="K116" s="36"/>
      <c r="L116" s="36"/>
      <c r="M116" s="36"/>
      <c r="N116" s="36"/>
      <c r="O116" s="36"/>
      <c r="P116" s="36"/>
      <c r="Q116" s="36"/>
      <c r="R116" s="36"/>
      <c r="S116" s="36"/>
      <c r="T116" s="36"/>
    </row>
    <row r="117" spans="1:20" ht="15.75">
      <c r="A117" s="13">
        <v>45047</v>
      </c>
      <c r="B117" s="44">
        <v>31</v>
      </c>
      <c r="C117" s="35">
        <v>194.20500000000001</v>
      </c>
      <c r="D117" s="35">
        <v>267.46600000000001</v>
      </c>
      <c r="E117" s="41">
        <v>812.32899999999995</v>
      </c>
      <c r="F117" s="35">
        <v>1274</v>
      </c>
      <c r="G117" s="35">
        <v>75</v>
      </c>
      <c r="H117" s="43">
        <v>600</v>
      </c>
      <c r="I117" s="35">
        <v>695</v>
      </c>
      <c r="J117" s="35">
        <v>50</v>
      </c>
      <c r="K117" s="36"/>
      <c r="L117" s="36"/>
      <c r="M117" s="36"/>
      <c r="N117" s="36"/>
      <c r="O117" s="36"/>
      <c r="P117" s="36"/>
      <c r="Q117" s="36"/>
      <c r="R117" s="36"/>
      <c r="S117" s="36"/>
      <c r="T117" s="36"/>
    </row>
    <row r="118" spans="1:20" ht="15.75">
      <c r="A118" s="13">
        <v>45078</v>
      </c>
      <c r="B118" s="44">
        <v>30</v>
      </c>
      <c r="C118" s="35">
        <v>194.20500000000001</v>
      </c>
      <c r="D118" s="35">
        <v>267.46600000000001</v>
      </c>
      <c r="E118" s="41">
        <v>812.32899999999995</v>
      </c>
      <c r="F118" s="35">
        <v>1274</v>
      </c>
      <c r="G118" s="35">
        <v>50</v>
      </c>
      <c r="H118" s="43">
        <v>600</v>
      </c>
      <c r="I118" s="35">
        <v>695</v>
      </c>
      <c r="J118" s="35">
        <v>50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</row>
    <row r="119" spans="1:20" ht="15.75">
      <c r="A119" s="13">
        <v>45108</v>
      </c>
      <c r="B119" s="44">
        <v>31</v>
      </c>
      <c r="C119" s="35">
        <v>194.20500000000001</v>
      </c>
      <c r="D119" s="35">
        <v>267.46600000000001</v>
      </c>
      <c r="E119" s="41">
        <v>812.32899999999995</v>
      </c>
      <c r="F119" s="35">
        <v>1274</v>
      </c>
      <c r="G119" s="35">
        <v>50</v>
      </c>
      <c r="H119" s="43">
        <v>600</v>
      </c>
      <c r="I119" s="35">
        <v>695</v>
      </c>
      <c r="J119" s="35">
        <v>0</v>
      </c>
      <c r="K119" s="36"/>
      <c r="L119" s="36"/>
      <c r="M119" s="36"/>
      <c r="N119" s="36"/>
      <c r="O119" s="36"/>
      <c r="P119" s="36"/>
      <c r="Q119" s="36"/>
      <c r="R119" s="36"/>
      <c r="S119" s="36"/>
      <c r="T119" s="36"/>
    </row>
    <row r="120" spans="1:20" ht="15.75">
      <c r="A120" s="13">
        <v>45139</v>
      </c>
      <c r="B120" s="44">
        <v>31</v>
      </c>
      <c r="C120" s="35">
        <v>194.20500000000001</v>
      </c>
      <c r="D120" s="35">
        <v>267.46600000000001</v>
      </c>
      <c r="E120" s="41">
        <v>812.32899999999995</v>
      </c>
      <c r="F120" s="35">
        <v>1274</v>
      </c>
      <c r="G120" s="35">
        <v>50</v>
      </c>
      <c r="H120" s="43">
        <v>600</v>
      </c>
      <c r="I120" s="35">
        <v>695</v>
      </c>
      <c r="J120" s="35">
        <v>0</v>
      </c>
      <c r="K120" s="36"/>
      <c r="L120" s="36"/>
      <c r="M120" s="36"/>
      <c r="N120" s="36"/>
      <c r="O120" s="36"/>
      <c r="P120" s="36"/>
      <c r="Q120" s="36"/>
      <c r="R120" s="36"/>
      <c r="S120" s="36"/>
      <c r="T120" s="36"/>
    </row>
    <row r="121" spans="1:20" ht="15.75">
      <c r="A121" s="13">
        <v>45170</v>
      </c>
      <c r="B121" s="44">
        <v>30</v>
      </c>
      <c r="C121" s="35">
        <v>194.20500000000001</v>
      </c>
      <c r="D121" s="35">
        <v>267.46600000000001</v>
      </c>
      <c r="E121" s="41">
        <v>812.32899999999995</v>
      </c>
      <c r="F121" s="35">
        <v>1274</v>
      </c>
      <c r="G121" s="35">
        <v>50</v>
      </c>
      <c r="H121" s="43">
        <v>600</v>
      </c>
      <c r="I121" s="35">
        <v>695</v>
      </c>
      <c r="J121" s="35">
        <v>0</v>
      </c>
      <c r="K121" s="36"/>
      <c r="L121" s="36"/>
      <c r="M121" s="36"/>
      <c r="N121" s="36"/>
      <c r="O121" s="36"/>
      <c r="P121" s="36"/>
      <c r="Q121" s="36"/>
      <c r="R121" s="36"/>
      <c r="S121" s="36"/>
      <c r="T121" s="36"/>
    </row>
    <row r="122" spans="1:20" ht="15.75">
      <c r="A122" s="13">
        <v>45200</v>
      </c>
      <c r="B122" s="44">
        <v>31</v>
      </c>
      <c r="C122" s="35">
        <v>131.881</v>
      </c>
      <c r="D122" s="35">
        <v>277.16699999999997</v>
      </c>
      <c r="E122" s="41">
        <v>829.952</v>
      </c>
      <c r="F122" s="35">
        <v>1239</v>
      </c>
      <c r="G122" s="35">
        <v>75</v>
      </c>
      <c r="H122" s="43">
        <v>600</v>
      </c>
      <c r="I122" s="35">
        <v>695</v>
      </c>
      <c r="J122" s="35">
        <v>0</v>
      </c>
      <c r="K122" s="36"/>
      <c r="L122" s="36"/>
      <c r="M122" s="36"/>
      <c r="N122" s="36"/>
      <c r="O122" s="36"/>
      <c r="P122" s="36"/>
      <c r="Q122" s="36"/>
      <c r="R122" s="36"/>
      <c r="S122" s="36"/>
      <c r="T122" s="36"/>
    </row>
    <row r="123" spans="1:20" ht="15.75">
      <c r="A123" s="13">
        <v>45231</v>
      </c>
      <c r="B123" s="44">
        <v>30</v>
      </c>
      <c r="C123" s="35">
        <v>122.58</v>
      </c>
      <c r="D123" s="35">
        <v>297.94099999999997</v>
      </c>
      <c r="E123" s="41">
        <v>729.47900000000004</v>
      </c>
      <c r="F123" s="35">
        <v>1150</v>
      </c>
      <c r="G123" s="35">
        <v>100</v>
      </c>
      <c r="H123" s="43">
        <v>600</v>
      </c>
      <c r="I123" s="35">
        <v>695</v>
      </c>
      <c r="J123" s="35">
        <v>50</v>
      </c>
      <c r="K123" s="36"/>
      <c r="L123" s="36"/>
      <c r="M123" s="36"/>
      <c r="N123" s="36"/>
      <c r="O123" s="36"/>
      <c r="P123" s="36"/>
      <c r="Q123" s="36"/>
      <c r="R123" s="36"/>
      <c r="S123" s="36"/>
      <c r="T123" s="36"/>
    </row>
    <row r="124" spans="1:20" ht="15.75">
      <c r="A124" s="13">
        <v>45261</v>
      </c>
      <c r="B124" s="44">
        <v>31</v>
      </c>
      <c r="C124" s="35">
        <v>122.58</v>
      </c>
      <c r="D124" s="35">
        <v>297.94099999999997</v>
      </c>
      <c r="E124" s="41">
        <v>729.47900000000004</v>
      </c>
      <c r="F124" s="35">
        <v>1150</v>
      </c>
      <c r="G124" s="35">
        <v>100</v>
      </c>
      <c r="H124" s="43">
        <v>600</v>
      </c>
      <c r="I124" s="35">
        <v>695</v>
      </c>
      <c r="J124" s="35">
        <v>50</v>
      </c>
      <c r="K124" s="36"/>
      <c r="L124" s="36"/>
      <c r="M124" s="36"/>
      <c r="N124" s="36"/>
      <c r="O124" s="36"/>
      <c r="P124" s="36"/>
      <c r="Q124" s="36"/>
      <c r="R124" s="36"/>
      <c r="S124" s="36"/>
      <c r="T124" s="36"/>
    </row>
    <row r="125" spans="1:20" ht="15.75">
      <c r="A125" s="13">
        <v>45292</v>
      </c>
      <c r="B125" s="44">
        <v>31</v>
      </c>
      <c r="C125" s="35">
        <v>122.58</v>
      </c>
      <c r="D125" s="35">
        <v>297.94099999999997</v>
      </c>
      <c r="E125" s="41">
        <v>729.47900000000004</v>
      </c>
      <c r="F125" s="35">
        <v>1150</v>
      </c>
      <c r="G125" s="35">
        <v>100</v>
      </c>
      <c r="H125" s="43">
        <v>600</v>
      </c>
      <c r="I125" s="35">
        <v>695</v>
      </c>
      <c r="J125" s="35">
        <v>50</v>
      </c>
      <c r="K125" s="36"/>
      <c r="L125" s="36"/>
      <c r="M125" s="36"/>
      <c r="N125" s="36"/>
      <c r="O125" s="36"/>
      <c r="P125" s="36"/>
      <c r="Q125" s="36"/>
      <c r="R125" s="36"/>
      <c r="S125" s="36"/>
      <c r="T125" s="36"/>
    </row>
    <row r="126" spans="1:20" ht="15.75">
      <c r="A126" s="13">
        <v>45323</v>
      </c>
      <c r="B126" s="44">
        <v>29</v>
      </c>
      <c r="C126" s="35">
        <v>122.58</v>
      </c>
      <c r="D126" s="35">
        <v>297.94099999999997</v>
      </c>
      <c r="E126" s="41">
        <v>729.47900000000004</v>
      </c>
      <c r="F126" s="35">
        <v>1150</v>
      </c>
      <c r="G126" s="35">
        <v>100</v>
      </c>
      <c r="H126" s="43">
        <v>600</v>
      </c>
      <c r="I126" s="35">
        <v>695</v>
      </c>
      <c r="J126" s="35">
        <v>50</v>
      </c>
      <c r="K126" s="36"/>
      <c r="L126" s="36"/>
      <c r="M126" s="36"/>
      <c r="N126" s="36"/>
      <c r="O126" s="36"/>
      <c r="P126" s="36"/>
      <c r="Q126" s="36"/>
      <c r="R126" s="36"/>
      <c r="S126" s="36"/>
      <c r="T126" s="36"/>
    </row>
    <row r="127" spans="1:20" ht="15.75">
      <c r="A127" s="13">
        <v>45352</v>
      </c>
      <c r="B127" s="44">
        <v>31</v>
      </c>
      <c r="C127" s="35">
        <v>122.58</v>
      </c>
      <c r="D127" s="35">
        <v>297.94099999999997</v>
      </c>
      <c r="E127" s="41">
        <v>729.47900000000004</v>
      </c>
      <c r="F127" s="35">
        <v>1150</v>
      </c>
      <c r="G127" s="35">
        <v>100</v>
      </c>
      <c r="H127" s="43">
        <v>600</v>
      </c>
      <c r="I127" s="35">
        <v>695</v>
      </c>
      <c r="J127" s="35">
        <v>50</v>
      </c>
      <c r="K127" s="36"/>
      <c r="L127" s="36"/>
      <c r="M127" s="36"/>
      <c r="N127" s="36"/>
      <c r="O127" s="36"/>
      <c r="P127" s="36"/>
      <c r="Q127" s="36"/>
      <c r="R127" s="36"/>
      <c r="S127" s="36"/>
      <c r="T127" s="36"/>
    </row>
    <row r="128" spans="1:20" ht="15.75">
      <c r="A128" s="13">
        <v>45383</v>
      </c>
      <c r="B128" s="44">
        <v>30</v>
      </c>
      <c r="C128" s="35">
        <v>141.29300000000001</v>
      </c>
      <c r="D128" s="35">
        <v>267.99299999999999</v>
      </c>
      <c r="E128" s="41">
        <v>829.71400000000006</v>
      </c>
      <c r="F128" s="35">
        <v>1239</v>
      </c>
      <c r="G128" s="35">
        <v>100</v>
      </c>
      <c r="H128" s="43">
        <v>600</v>
      </c>
      <c r="I128" s="35">
        <v>695</v>
      </c>
      <c r="J128" s="35">
        <v>50</v>
      </c>
      <c r="K128" s="36"/>
      <c r="L128" s="36"/>
      <c r="M128" s="36"/>
      <c r="N128" s="36"/>
      <c r="O128" s="36"/>
      <c r="P128" s="36"/>
      <c r="Q128" s="36"/>
      <c r="R128" s="36"/>
      <c r="S128" s="36"/>
      <c r="T128" s="36"/>
    </row>
    <row r="129" spans="1:20" ht="15.75">
      <c r="A129" s="13">
        <v>45413</v>
      </c>
      <c r="B129" s="44">
        <v>31</v>
      </c>
      <c r="C129" s="35">
        <v>194.20500000000001</v>
      </c>
      <c r="D129" s="35">
        <v>267.46600000000001</v>
      </c>
      <c r="E129" s="41">
        <v>812.32899999999995</v>
      </c>
      <c r="F129" s="35">
        <v>1274</v>
      </c>
      <c r="G129" s="35">
        <v>75</v>
      </c>
      <c r="H129" s="43">
        <v>600</v>
      </c>
      <c r="I129" s="35">
        <v>695</v>
      </c>
      <c r="J129" s="35">
        <v>50</v>
      </c>
      <c r="K129" s="36"/>
      <c r="L129" s="36"/>
      <c r="M129" s="36"/>
      <c r="N129" s="36"/>
      <c r="O129" s="36"/>
      <c r="P129" s="36"/>
      <c r="Q129" s="36"/>
      <c r="R129" s="36"/>
      <c r="S129" s="36"/>
      <c r="T129" s="36"/>
    </row>
    <row r="130" spans="1:20" ht="15.75">
      <c r="A130" s="13">
        <v>45444</v>
      </c>
      <c r="B130" s="44">
        <v>30</v>
      </c>
      <c r="C130" s="35">
        <v>194.20500000000001</v>
      </c>
      <c r="D130" s="35">
        <v>267.46600000000001</v>
      </c>
      <c r="E130" s="41">
        <v>812.32899999999995</v>
      </c>
      <c r="F130" s="35">
        <v>1274</v>
      </c>
      <c r="G130" s="35">
        <v>50</v>
      </c>
      <c r="H130" s="43">
        <v>600</v>
      </c>
      <c r="I130" s="35">
        <v>695</v>
      </c>
      <c r="J130" s="35">
        <v>50</v>
      </c>
      <c r="K130" s="36"/>
      <c r="L130" s="36"/>
      <c r="M130" s="36"/>
      <c r="N130" s="36"/>
      <c r="O130" s="36"/>
      <c r="P130" s="36"/>
      <c r="Q130" s="36"/>
      <c r="R130" s="36"/>
      <c r="S130" s="36"/>
      <c r="T130" s="36"/>
    </row>
    <row r="131" spans="1:20" ht="15.75">
      <c r="A131" s="13">
        <v>45474</v>
      </c>
      <c r="B131" s="44">
        <v>31</v>
      </c>
      <c r="C131" s="35">
        <v>194.20500000000001</v>
      </c>
      <c r="D131" s="35">
        <v>267.46600000000001</v>
      </c>
      <c r="E131" s="41">
        <v>812.32899999999995</v>
      </c>
      <c r="F131" s="35">
        <v>1274</v>
      </c>
      <c r="G131" s="35">
        <v>50</v>
      </c>
      <c r="H131" s="43">
        <v>600</v>
      </c>
      <c r="I131" s="35">
        <v>695</v>
      </c>
      <c r="J131" s="35">
        <v>0</v>
      </c>
      <c r="K131" s="36"/>
      <c r="L131" s="36"/>
      <c r="M131" s="36"/>
      <c r="N131" s="36"/>
      <c r="O131" s="36"/>
      <c r="P131" s="36"/>
      <c r="Q131" s="36"/>
      <c r="R131" s="36"/>
      <c r="S131" s="36"/>
      <c r="T131" s="36"/>
    </row>
    <row r="132" spans="1:20" ht="15.75">
      <c r="A132" s="13">
        <v>45505</v>
      </c>
      <c r="B132" s="44">
        <v>31</v>
      </c>
      <c r="C132" s="35">
        <v>194.20500000000001</v>
      </c>
      <c r="D132" s="35">
        <v>267.46600000000001</v>
      </c>
      <c r="E132" s="41">
        <v>812.32899999999995</v>
      </c>
      <c r="F132" s="35">
        <v>1274</v>
      </c>
      <c r="G132" s="35">
        <v>50</v>
      </c>
      <c r="H132" s="43">
        <v>600</v>
      </c>
      <c r="I132" s="35">
        <v>695</v>
      </c>
      <c r="J132" s="35">
        <v>0</v>
      </c>
      <c r="K132" s="36"/>
      <c r="L132" s="36"/>
      <c r="M132" s="36"/>
      <c r="N132" s="36"/>
      <c r="O132" s="36"/>
      <c r="P132" s="36"/>
      <c r="Q132" s="36"/>
      <c r="R132" s="36"/>
      <c r="S132" s="36"/>
      <c r="T132" s="36"/>
    </row>
    <row r="133" spans="1:20" ht="15.75">
      <c r="A133" s="13">
        <v>45536</v>
      </c>
      <c r="B133" s="44">
        <v>30</v>
      </c>
      <c r="C133" s="35">
        <v>194.20500000000001</v>
      </c>
      <c r="D133" s="35">
        <v>267.46600000000001</v>
      </c>
      <c r="E133" s="41">
        <v>812.32899999999995</v>
      </c>
      <c r="F133" s="35">
        <v>1274</v>
      </c>
      <c r="G133" s="35">
        <v>50</v>
      </c>
      <c r="H133" s="43">
        <v>600</v>
      </c>
      <c r="I133" s="35">
        <v>695</v>
      </c>
      <c r="J133" s="35">
        <v>0</v>
      </c>
      <c r="K133" s="36"/>
      <c r="L133" s="36"/>
      <c r="M133" s="36"/>
      <c r="N133" s="36"/>
      <c r="O133" s="36"/>
      <c r="P133" s="36"/>
      <c r="Q133" s="36"/>
      <c r="R133" s="36"/>
      <c r="S133" s="36"/>
      <c r="T133" s="36"/>
    </row>
    <row r="134" spans="1:20" ht="15.75">
      <c r="A134" s="13">
        <v>45566</v>
      </c>
      <c r="B134" s="44">
        <v>31</v>
      </c>
      <c r="C134" s="35">
        <v>131.881</v>
      </c>
      <c r="D134" s="35">
        <v>277.16699999999997</v>
      </c>
      <c r="E134" s="41">
        <v>829.952</v>
      </c>
      <c r="F134" s="35">
        <v>1239</v>
      </c>
      <c r="G134" s="35">
        <v>75</v>
      </c>
      <c r="H134" s="43">
        <v>600</v>
      </c>
      <c r="I134" s="35">
        <v>695</v>
      </c>
      <c r="J134" s="35">
        <v>0</v>
      </c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0" ht="15.75">
      <c r="A135" s="13">
        <v>45597</v>
      </c>
      <c r="B135" s="44">
        <v>30</v>
      </c>
      <c r="C135" s="35">
        <v>122.58</v>
      </c>
      <c r="D135" s="35">
        <v>297.94099999999997</v>
      </c>
      <c r="E135" s="41">
        <v>729.47900000000004</v>
      </c>
      <c r="F135" s="35">
        <v>1150</v>
      </c>
      <c r="G135" s="35">
        <v>100</v>
      </c>
      <c r="H135" s="43">
        <v>600</v>
      </c>
      <c r="I135" s="35">
        <v>695</v>
      </c>
      <c r="J135" s="35">
        <v>50</v>
      </c>
      <c r="K135" s="36"/>
      <c r="L135" s="36"/>
      <c r="M135" s="36"/>
      <c r="N135" s="36"/>
      <c r="O135" s="36"/>
      <c r="P135" s="36"/>
      <c r="Q135" s="36"/>
      <c r="R135" s="36"/>
      <c r="S135" s="36"/>
      <c r="T135" s="36"/>
    </row>
    <row r="136" spans="1:20" ht="15.75">
      <c r="A136" s="13">
        <v>45627</v>
      </c>
      <c r="B136" s="44">
        <v>31</v>
      </c>
      <c r="C136" s="35">
        <v>122.58</v>
      </c>
      <c r="D136" s="35">
        <v>297.94099999999997</v>
      </c>
      <c r="E136" s="41">
        <v>729.47900000000004</v>
      </c>
      <c r="F136" s="35">
        <v>1150</v>
      </c>
      <c r="G136" s="35">
        <v>100</v>
      </c>
      <c r="H136" s="43">
        <v>600</v>
      </c>
      <c r="I136" s="35">
        <v>695</v>
      </c>
      <c r="J136" s="35">
        <v>50</v>
      </c>
      <c r="K136" s="36"/>
      <c r="L136" s="36"/>
      <c r="M136" s="36"/>
      <c r="N136" s="36"/>
      <c r="O136" s="36"/>
      <c r="P136" s="36"/>
      <c r="Q136" s="36"/>
      <c r="R136" s="36"/>
      <c r="S136" s="36"/>
      <c r="T136" s="36"/>
    </row>
    <row r="137" spans="1:20" ht="15.75">
      <c r="A137" s="13">
        <v>45658</v>
      </c>
      <c r="B137" s="44">
        <v>31</v>
      </c>
      <c r="C137" s="35">
        <v>122.58</v>
      </c>
      <c r="D137" s="35">
        <v>297.94099999999997</v>
      </c>
      <c r="E137" s="41">
        <v>729.47900000000004</v>
      </c>
      <c r="F137" s="35">
        <v>1150</v>
      </c>
      <c r="G137" s="35">
        <v>100</v>
      </c>
      <c r="H137" s="43">
        <v>600</v>
      </c>
      <c r="I137" s="35">
        <v>695</v>
      </c>
      <c r="J137" s="35">
        <v>50</v>
      </c>
      <c r="K137" s="36"/>
      <c r="L137" s="36"/>
      <c r="M137" s="36"/>
      <c r="N137" s="36"/>
      <c r="O137" s="36"/>
      <c r="P137" s="36"/>
      <c r="Q137" s="36"/>
      <c r="R137" s="36"/>
      <c r="S137" s="36"/>
      <c r="T137" s="36"/>
    </row>
    <row r="138" spans="1:20" ht="15.75">
      <c r="A138" s="13">
        <v>45689</v>
      </c>
      <c r="B138" s="44">
        <v>28</v>
      </c>
      <c r="C138" s="35">
        <v>122.58</v>
      </c>
      <c r="D138" s="35">
        <v>297.94099999999997</v>
      </c>
      <c r="E138" s="41">
        <v>729.47900000000004</v>
      </c>
      <c r="F138" s="35">
        <v>1150</v>
      </c>
      <c r="G138" s="35">
        <v>100</v>
      </c>
      <c r="H138" s="43">
        <v>600</v>
      </c>
      <c r="I138" s="35">
        <v>695</v>
      </c>
      <c r="J138" s="35">
        <v>50</v>
      </c>
      <c r="K138" s="36"/>
      <c r="L138" s="36"/>
      <c r="M138" s="36"/>
      <c r="N138" s="36"/>
      <c r="O138" s="36"/>
      <c r="P138" s="36"/>
      <c r="Q138" s="36"/>
      <c r="R138" s="36"/>
      <c r="S138" s="36"/>
      <c r="T138" s="36"/>
    </row>
    <row r="139" spans="1:20" ht="15.75">
      <c r="A139" s="13">
        <v>45717</v>
      </c>
      <c r="B139" s="44">
        <v>31</v>
      </c>
      <c r="C139" s="35">
        <v>122.58</v>
      </c>
      <c r="D139" s="35">
        <v>297.94099999999997</v>
      </c>
      <c r="E139" s="41">
        <v>729.47900000000004</v>
      </c>
      <c r="F139" s="35">
        <v>1150</v>
      </c>
      <c r="G139" s="35">
        <v>100</v>
      </c>
      <c r="H139" s="43">
        <v>600</v>
      </c>
      <c r="I139" s="35">
        <v>695</v>
      </c>
      <c r="J139" s="35">
        <v>50</v>
      </c>
      <c r="K139" s="36"/>
      <c r="L139" s="36"/>
      <c r="M139" s="36"/>
      <c r="N139" s="36"/>
      <c r="O139" s="36"/>
      <c r="P139" s="36"/>
      <c r="Q139" s="36"/>
      <c r="R139" s="36"/>
      <c r="S139" s="36"/>
      <c r="T139" s="36"/>
    </row>
    <row r="140" spans="1:20" ht="15.75">
      <c r="A140" s="13">
        <v>45748</v>
      </c>
      <c r="B140" s="44">
        <v>30</v>
      </c>
      <c r="C140" s="35">
        <v>141.29300000000001</v>
      </c>
      <c r="D140" s="35">
        <v>267.99299999999999</v>
      </c>
      <c r="E140" s="41">
        <v>829.71400000000006</v>
      </c>
      <c r="F140" s="35">
        <v>1239</v>
      </c>
      <c r="G140" s="35">
        <v>100</v>
      </c>
      <c r="H140" s="43">
        <v>600</v>
      </c>
      <c r="I140" s="35">
        <v>695</v>
      </c>
      <c r="J140" s="35">
        <v>50</v>
      </c>
      <c r="K140" s="36"/>
      <c r="L140" s="36"/>
      <c r="M140" s="36"/>
      <c r="N140" s="36"/>
      <c r="O140" s="36"/>
      <c r="P140" s="36"/>
      <c r="Q140" s="36"/>
      <c r="R140" s="36"/>
      <c r="S140" s="36"/>
      <c r="T140" s="36"/>
    </row>
    <row r="141" spans="1:20" ht="15.75">
      <c r="A141" s="13">
        <v>45778</v>
      </c>
      <c r="B141" s="44">
        <v>31</v>
      </c>
      <c r="C141" s="35">
        <v>194.20500000000001</v>
      </c>
      <c r="D141" s="35">
        <v>267.46600000000001</v>
      </c>
      <c r="E141" s="41">
        <v>812.32899999999995</v>
      </c>
      <c r="F141" s="35">
        <v>1274</v>
      </c>
      <c r="G141" s="35">
        <v>75</v>
      </c>
      <c r="H141" s="43">
        <v>600</v>
      </c>
      <c r="I141" s="35">
        <v>695</v>
      </c>
      <c r="J141" s="35">
        <v>50</v>
      </c>
      <c r="K141" s="36"/>
      <c r="L141" s="36"/>
      <c r="M141" s="36"/>
      <c r="N141" s="36"/>
      <c r="O141" s="36"/>
      <c r="P141" s="36"/>
      <c r="Q141" s="36"/>
      <c r="R141" s="36"/>
      <c r="S141" s="36"/>
      <c r="T141" s="36"/>
    </row>
    <row r="142" spans="1:20" ht="15.75">
      <c r="A142" s="13">
        <v>45809</v>
      </c>
      <c r="B142" s="44">
        <v>30</v>
      </c>
      <c r="C142" s="35">
        <v>194.20500000000001</v>
      </c>
      <c r="D142" s="35">
        <v>267.46600000000001</v>
      </c>
      <c r="E142" s="41">
        <v>812.32899999999995</v>
      </c>
      <c r="F142" s="35">
        <v>1274</v>
      </c>
      <c r="G142" s="35">
        <v>50</v>
      </c>
      <c r="H142" s="43">
        <v>600</v>
      </c>
      <c r="I142" s="35">
        <v>695</v>
      </c>
      <c r="J142" s="35">
        <v>50</v>
      </c>
      <c r="K142" s="36"/>
      <c r="L142" s="36"/>
      <c r="M142" s="36"/>
      <c r="N142" s="36"/>
      <c r="O142" s="36"/>
      <c r="P142" s="36"/>
      <c r="Q142" s="36"/>
      <c r="R142" s="36"/>
      <c r="S142" s="36"/>
      <c r="T142" s="36"/>
    </row>
    <row r="143" spans="1:20" ht="15.75">
      <c r="A143" s="13">
        <v>45839</v>
      </c>
      <c r="B143" s="44">
        <v>31</v>
      </c>
      <c r="C143" s="35">
        <v>194.20500000000001</v>
      </c>
      <c r="D143" s="35">
        <v>267.46600000000001</v>
      </c>
      <c r="E143" s="41">
        <v>812.32899999999995</v>
      </c>
      <c r="F143" s="35">
        <v>1274</v>
      </c>
      <c r="G143" s="35">
        <v>50</v>
      </c>
      <c r="H143" s="43">
        <v>600</v>
      </c>
      <c r="I143" s="35">
        <v>695</v>
      </c>
      <c r="J143" s="35">
        <v>0</v>
      </c>
      <c r="K143" s="36"/>
      <c r="L143" s="36"/>
      <c r="M143" s="36"/>
      <c r="N143" s="36"/>
      <c r="O143" s="36"/>
      <c r="P143" s="36"/>
      <c r="Q143" s="36"/>
      <c r="R143" s="36"/>
      <c r="S143" s="36"/>
      <c r="T143" s="36"/>
    </row>
    <row r="144" spans="1:20" ht="15.75">
      <c r="A144" s="13">
        <v>45870</v>
      </c>
      <c r="B144" s="44">
        <v>31</v>
      </c>
      <c r="C144" s="35">
        <v>194.20500000000001</v>
      </c>
      <c r="D144" s="35">
        <v>267.46600000000001</v>
      </c>
      <c r="E144" s="41">
        <v>812.32899999999995</v>
      </c>
      <c r="F144" s="35">
        <v>1274</v>
      </c>
      <c r="G144" s="35">
        <v>50</v>
      </c>
      <c r="H144" s="43">
        <v>600</v>
      </c>
      <c r="I144" s="35">
        <v>695</v>
      </c>
      <c r="J144" s="35">
        <v>0</v>
      </c>
      <c r="K144" s="36"/>
      <c r="L144" s="36"/>
      <c r="M144" s="36"/>
      <c r="N144" s="36"/>
      <c r="O144" s="36"/>
      <c r="P144" s="36"/>
      <c r="Q144" s="36"/>
      <c r="R144" s="36"/>
      <c r="S144" s="36"/>
      <c r="T144" s="36"/>
    </row>
    <row r="145" spans="1:20" ht="15.75">
      <c r="A145" s="13">
        <v>45901</v>
      </c>
      <c r="B145" s="44">
        <v>30</v>
      </c>
      <c r="C145" s="35">
        <v>194.20500000000001</v>
      </c>
      <c r="D145" s="35">
        <v>267.46600000000001</v>
      </c>
      <c r="E145" s="41">
        <v>812.32899999999995</v>
      </c>
      <c r="F145" s="35">
        <v>1274</v>
      </c>
      <c r="G145" s="35">
        <v>50</v>
      </c>
      <c r="H145" s="43">
        <v>600</v>
      </c>
      <c r="I145" s="35">
        <v>695</v>
      </c>
      <c r="J145" s="35">
        <v>0</v>
      </c>
      <c r="K145" s="36"/>
      <c r="L145" s="36"/>
      <c r="M145" s="36"/>
      <c r="N145" s="36"/>
      <c r="O145" s="36"/>
      <c r="P145" s="36"/>
      <c r="Q145" s="36"/>
      <c r="R145" s="36"/>
      <c r="S145" s="36"/>
      <c r="T145" s="36"/>
    </row>
    <row r="146" spans="1:20" ht="15.75">
      <c r="A146" s="13">
        <v>45931</v>
      </c>
      <c r="B146" s="44">
        <v>31</v>
      </c>
      <c r="C146" s="35">
        <v>131.881</v>
      </c>
      <c r="D146" s="35">
        <v>277.16699999999997</v>
      </c>
      <c r="E146" s="41">
        <v>829.952</v>
      </c>
      <c r="F146" s="35">
        <v>1239</v>
      </c>
      <c r="G146" s="35">
        <v>75</v>
      </c>
      <c r="H146" s="43">
        <v>600</v>
      </c>
      <c r="I146" s="35">
        <v>695</v>
      </c>
      <c r="J146" s="35">
        <v>0</v>
      </c>
      <c r="K146" s="36"/>
      <c r="L146" s="36"/>
      <c r="M146" s="36"/>
      <c r="N146" s="36"/>
      <c r="O146" s="36"/>
      <c r="P146" s="36"/>
      <c r="Q146" s="36"/>
      <c r="R146" s="36"/>
      <c r="S146" s="36"/>
      <c r="T146" s="36"/>
    </row>
    <row r="147" spans="1:20" ht="15.75">
      <c r="A147" s="13">
        <v>45962</v>
      </c>
      <c r="B147" s="44">
        <v>30</v>
      </c>
      <c r="C147" s="35">
        <v>122.58</v>
      </c>
      <c r="D147" s="35">
        <v>297.94099999999997</v>
      </c>
      <c r="E147" s="41">
        <v>729.47900000000004</v>
      </c>
      <c r="F147" s="35">
        <v>1150</v>
      </c>
      <c r="G147" s="35">
        <v>100</v>
      </c>
      <c r="H147" s="43">
        <v>600</v>
      </c>
      <c r="I147" s="35">
        <v>695</v>
      </c>
      <c r="J147" s="35">
        <v>50</v>
      </c>
      <c r="K147" s="36"/>
      <c r="L147" s="36"/>
      <c r="M147" s="36"/>
      <c r="N147" s="36"/>
      <c r="O147" s="36"/>
      <c r="P147" s="36"/>
      <c r="Q147" s="36"/>
      <c r="R147" s="36"/>
      <c r="S147" s="36"/>
      <c r="T147" s="36"/>
    </row>
    <row r="148" spans="1:20" ht="15.75">
      <c r="A148" s="13">
        <v>45992</v>
      </c>
      <c r="B148" s="44">
        <v>31</v>
      </c>
      <c r="C148" s="35">
        <v>122.58</v>
      </c>
      <c r="D148" s="35">
        <v>297.94099999999997</v>
      </c>
      <c r="E148" s="41">
        <v>729.47900000000004</v>
      </c>
      <c r="F148" s="35">
        <v>1150</v>
      </c>
      <c r="G148" s="35">
        <v>100</v>
      </c>
      <c r="H148" s="43">
        <v>600</v>
      </c>
      <c r="I148" s="35">
        <v>695</v>
      </c>
      <c r="J148" s="35">
        <v>50</v>
      </c>
      <c r="K148" s="36"/>
      <c r="L148" s="36"/>
      <c r="M148" s="36"/>
      <c r="N148" s="36"/>
      <c r="O148" s="36"/>
      <c r="P148" s="36"/>
      <c r="Q148" s="36"/>
      <c r="R148" s="36"/>
      <c r="S148" s="36"/>
      <c r="T148" s="36"/>
    </row>
    <row r="149" spans="1:20" ht="15.75">
      <c r="A149" s="13">
        <v>46023</v>
      </c>
      <c r="B149" s="44">
        <v>31</v>
      </c>
      <c r="C149" s="35">
        <v>122.58</v>
      </c>
      <c r="D149" s="35">
        <v>297.94099999999997</v>
      </c>
      <c r="E149" s="41">
        <v>729.47900000000004</v>
      </c>
      <c r="F149" s="35">
        <v>1150</v>
      </c>
      <c r="G149" s="35">
        <v>100</v>
      </c>
      <c r="H149" s="43">
        <v>600</v>
      </c>
      <c r="I149" s="35">
        <v>695</v>
      </c>
      <c r="J149" s="35">
        <v>50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</row>
    <row r="150" spans="1:20" ht="15.75">
      <c r="A150" s="13">
        <v>46054</v>
      </c>
      <c r="B150" s="44">
        <v>28</v>
      </c>
      <c r="C150" s="35">
        <v>122.58</v>
      </c>
      <c r="D150" s="35">
        <v>297.94099999999997</v>
      </c>
      <c r="E150" s="41">
        <v>729.47900000000004</v>
      </c>
      <c r="F150" s="35">
        <v>1150</v>
      </c>
      <c r="G150" s="35">
        <v>100</v>
      </c>
      <c r="H150" s="43">
        <v>600</v>
      </c>
      <c r="I150" s="35">
        <v>695</v>
      </c>
      <c r="J150" s="35">
        <v>50</v>
      </c>
      <c r="K150" s="36"/>
      <c r="L150" s="36"/>
      <c r="M150" s="36"/>
      <c r="N150" s="36"/>
      <c r="O150" s="36"/>
      <c r="P150" s="36"/>
      <c r="Q150" s="36"/>
      <c r="R150" s="36"/>
      <c r="S150" s="36"/>
      <c r="T150" s="36"/>
    </row>
    <row r="151" spans="1:20" ht="15.75">
      <c r="A151" s="13">
        <v>46082</v>
      </c>
      <c r="B151" s="44">
        <v>31</v>
      </c>
      <c r="C151" s="35">
        <v>122.58</v>
      </c>
      <c r="D151" s="35">
        <v>297.94099999999997</v>
      </c>
      <c r="E151" s="41">
        <v>729.47900000000004</v>
      </c>
      <c r="F151" s="35">
        <v>1150</v>
      </c>
      <c r="G151" s="35">
        <v>100</v>
      </c>
      <c r="H151" s="43">
        <v>600</v>
      </c>
      <c r="I151" s="35">
        <v>695</v>
      </c>
      <c r="J151" s="35">
        <v>50</v>
      </c>
      <c r="K151" s="36"/>
      <c r="L151" s="36"/>
      <c r="M151" s="36"/>
      <c r="N151" s="36"/>
      <c r="O151" s="36"/>
      <c r="P151" s="36"/>
      <c r="Q151" s="36"/>
      <c r="R151" s="36"/>
      <c r="S151" s="36"/>
      <c r="T151" s="36"/>
    </row>
    <row r="152" spans="1:20" ht="15.75">
      <c r="A152" s="13">
        <v>46113</v>
      </c>
      <c r="B152" s="44">
        <v>30</v>
      </c>
      <c r="C152" s="35">
        <v>141.29300000000001</v>
      </c>
      <c r="D152" s="35">
        <v>267.99299999999999</v>
      </c>
      <c r="E152" s="41">
        <v>829.71400000000006</v>
      </c>
      <c r="F152" s="35">
        <v>1239</v>
      </c>
      <c r="G152" s="35">
        <v>100</v>
      </c>
      <c r="H152" s="43">
        <v>600</v>
      </c>
      <c r="I152" s="35">
        <v>695</v>
      </c>
      <c r="J152" s="35">
        <v>50</v>
      </c>
      <c r="K152" s="36"/>
      <c r="L152" s="36"/>
      <c r="M152" s="36"/>
      <c r="N152" s="36"/>
      <c r="O152" s="36"/>
      <c r="P152" s="36"/>
      <c r="Q152" s="36"/>
      <c r="R152" s="36"/>
      <c r="S152" s="36"/>
      <c r="T152" s="36"/>
    </row>
    <row r="153" spans="1:20" ht="15.75">
      <c r="A153" s="13">
        <v>46143</v>
      </c>
      <c r="B153" s="44">
        <v>31</v>
      </c>
      <c r="C153" s="35">
        <v>194.20500000000001</v>
      </c>
      <c r="D153" s="35">
        <v>267.46600000000001</v>
      </c>
      <c r="E153" s="41">
        <v>812.32899999999995</v>
      </c>
      <c r="F153" s="35">
        <v>1274</v>
      </c>
      <c r="G153" s="35">
        <v>75</v>
      </c>
      <c r="H153" s="43">
        <v>600</v>
      </c>
      <c r="I153" s="35">
        <v>695</v>
      </c>
      <c r="J153" s="35">
        <v>50</v>
      </c>
      <c r="K153" s="36"/>
      <c r="L153" s="36"/>
      <c r="M153" s="36"/>
      <c r="N153" s="36"/>
      <c r="O153" s="36"/>
      <c r="P153" s="36"/>
      <c r="Q153" s="36"/>
      <c r="R153" s="36"/>
      <c r="S153" s="36"/>
      <c r="T153" s="36"/>
    </row>
    <row r="154" spans="1:20" ht="15.75">
      <c r="A154" s="13">
        <v>46174</v>
      </c>
      <c r="B154" s="44">
        <v>30</v>
      </c>
      <c r="C154" s="35">
        <v>194.20500000000001</v>
      </c>
      <c r="D154" s="35">
        <v>267.46600000000001</v>
      </c>
      <c r="E154" s="41">
        <v>812.32899999999995</v>
      </c>
      <c r="F154" s="35">
        <v>1274</v>
      </c>
      <c r="G154" s="35">
        <v>50</v>
      </c>
      <c r="H154" s="43">
        <v>600</v>
      </c>
      <c r="I154" s="35">
        <v>695</v>
      </c>
      <c r="J154" s="35">
        <v>50</v>
      </c>
      <c r="K154" s="36"/>
      <c r="L154" s="36"/>
      <c r="M154" s="36"/>
      <c r="N154" s="36"/>
      <c r="O154" s="36"/>
      <c r="P154" s="36"/>
      <c r="Q154" s="36"/>
      <c r="R154" s="36"/>
      <c r="S154" s="36"/>
      <c r="T154" s="36"/>
    </row>
    <row r="155" spans="1:20" ht="15.75">
      <c r="A155" s="13">
        <v>46204</v>
      </c>
      <c r="B155" s="44">
        <v>31</v>
      </c>
      <c r="C155" s="35">
        <v>194.20500000000001</v>
      </c>
      <c r="D155" s="35">
        <v>267.46600000000001</v>
      </c>
      <c r="E155" s="41">
        <v>812.32899999999995</v>
      </c>
      <c r="F155" s="35">
        <v>1274</v>
      </c>
      <c r="G155" s="35">
        <v>50</v>
      </c>
      <c r="H155" s="43">
        <v>600</v>
      </c>
      <c r="I155" s="35">
        <v>695</v>
      </c>
      <c r="J155" s="35">
        <v>0</v>
      </c>
      <c r="K155" s="36"/>
      <c r="L155" s="36"/>
      <c r="M155" s="36"/>
      <c r="N155" s="36"/>
      <c r="O155" s="36"/>
      <c r="P155" s="36"/>
      <c r="Q155" s="36"/>
      <c r="R155" s="36"/>
      <c r="S155" s="36"/>
      <c r="T155" s="36"/>
    </row>
    <row r="156" spans="1:20" ht="15.75">
      <c r="A156" s="13">
        <v>46235</v>
      </c>
      <c r="B156" s="44">
        <v>31</v>
      </c>
      <c r="C156" s="35">
        <v>194.20500000000001</v>
      </c>
      <c r="D156" s="35">
        <v>267.46600000000001</v>
      </c>
      <c r="E156" s="41">
        <v>812.32899999999995</v>
      </c>
      <c r="F156" s="35">
        <v>1274</v>
      </c>
      <c r="G156" s="35">
        <v>50</v>
      </c>
      <c r="H156" s="43">
        <v>600</v>
      </c>
      <c r="I156" s="35">
        <v>695</v>
      </c>
      <c r="J156" s="35">
        <v>0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</row>
    <row r="157" spans="1:20" ht="15.75">
      <c r="A157" s="13">
        <v>46266</v>
      </c>
      <c r="B157" s="44">
        <v>30</v>
      </c>
      <c r="C157" s="35">
        <v>194.20500000000001</v>
      </c>
      <c r="D157" s="35">
        <v>267.46600000000001</v>
      </c>
      <c r="E157" s="41">
        <v>812.32899999999995</v>
      </c>
      <c r="F157" s="35">
        <v>1274</v>
      </c>
      <c r="G157" s="35">
        <v>50</v>
      </c>
      <c r="H157" s="43">
        <v>600</v>
      </c>
      <c r="I157" s="35">
        <v>695</v>
      </c>
      <c r="J157" s="35">
        <v>0</v>
      </c>
      <c r="K157" s="36"/>
      <c r="L157" s="36"/>
      <c r="M157" s="36"/>
      <c r="N157" s="36"/>
      <c r="O157" s="36"/>
      <c r="P157" s="36"/>
      <c r="Q157" s="36"/>
      <c r="R157" s="36"/>
      <c r="S157" s="36"/>
      <c r="T157" s="36"/>
    </row>
    <row r="158" spans="1:20" ht="15.75">
      <c r="A158" s="13">
        <v>46296</v>
      </c>
      <c r="B158" s="44">
        <v>31</v>
      </c>
      <c r="C158" s="35">
        <v>131.881</v>
      </c>
      <c r="D158" s="35">
        <v>277.16699999999997</v>
      </c>
      <c r="E158" s="41">
        <v>829.952</v>
      </c>
      <c r="F158" s="35">
        <v>1239</v>
      </c>
      <c r="G158" s="35">
        <v>75</v>
      </c>
      <c r="H158" s="43">
        <v>600</v>
      </c>
      <c r="I158" s="35">
        <v>695</v>
      </c>
      <c r="J158" s="35">
        <v>0</v>
      </c>
      <c r="K158" s="36"/>
      <c r="L158" s="36"/>
      <c r="M158" s="36"/>
      <c r="N158" s="36"/>
      <c r="O158" s="36"/>
      <c r="P158" s="36"/>
      <c r="Q158" s="36"/>
      <c r="R158" s="36"/>
      <c r="S158" s="36"/>
      <c r="T158" s="36"/>
    </row>
    <row r="159" spans="1:20" ht="15.75">
      <c r="A159" s="13">
        <v>46327</v>
      </c>
      <c r="B159" s="44">
        <v>30</v>
      </c>
      <c r="C159" s="35">
        <v>122.58</v>
      </c>
      <c r="D159" s="35">
        <v>297.94099999999997</v>
      </c>
      <c r="E159" s="41">
        <v>729.47900000000004</v>
      </c>
      <c r="F159" s="35">
        <v>1150</v>
      </c>
      <c r="G159" s="35">
        <v>100</v>
      </c>
      <c r="H159" s="43">
        <v>600</v>
      </c>
      <c r="I159" s="35">
        <v>695</v>
      </c>
      <c r="J159" s="35">
        <v>50</v>
      </c>
      <c r="K159" s="36"/>
      <c r="L159" s="36"/>
      <c r="M159" s="36"/>
      <c r="N159" s="36"/>
      <c r="O159" s="36"/>
      <c r="P159" s="36"/>
      <c r="Q159" s="36"/>
      <c r="R159" s="36"/>
      <c r="S159" s="36"/>
      <c r="T159" s="36"/>
    </row>
    <row r="160" spans="1:20" ht="15.75">
      <c r="A160" s="13">
        <v>46357</v>
      </c>
      <c r="B160" s="44">
        <v>31</v>
      </c>
      <c r="C160" s="35">
        <v>122.58</v>
      </c>
      <c r="D160" s="35">
        <v>297.94099999999997</v>
      </c>
      <c r="E160" s="41">
        <v>729.47900000000004</v>
      </c>
      <c r="F160" s="35">
        <v>1150</v>
      </c>
      <c r="G160" s="35">
        <v>100</v>
      </c>
      <c r="H160" s="43">
        <v>600</v>
      </c>
      <c r="I160" s="35">
        <v>695</v>
      </c>
      <c r="J160" s="35">
        <v>50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</row>
    <row r="161" spans="1:20" ht="15.75">
      <c r="A161" s="13">
        <v>46388</v>
      </c>
      <c r="B161" s="44">
        <v>31</v>
      </c>
      <c r="C161" s="35">
        <v>122.58</v>
      </c>
      <c r="D161" s="35">
        <v>297.94099999999997</v>
      </c>
      <c r="E161" s="41">
        <v>729.47900000000004</v>
      </c>
      <c r="F161" s="35">
        <v>1150</v>
      </c>
      <c r="G161" s="35">
        <v>100</v>
      </c>
      <c r="H161" s="43">
        <v>600</v>
      </c>
      <c r="I161" s="35">
        <v>695</v>
      </c>
      <c r="J161" s="35">
        <v>50</v>
      </c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ht="15.75">
      <c r="A162" s="13">
        <v>46419</v>
      </c>
      <c r="B162" s="44">
        <v>28</v>
      </c>
      <c r="C162" s="35">
        <v>122.58</v>
      </c>
      <c r="D162" s="35">
        <v>297.94099999999997</v>
      </c>
      <c r="E162" s="41">
        <v>729.47900000000004</v>
      </c>
      <c r="F162" s="35">
        <v>1150</v>
      </c>
      <c r="G162" s="35">
        <v>100</v>
      </c>
      <c r="H162" s="43">
        <v>600</v>
      </c>
      <c r="I162" s="35">
        <v>695</v>
      </c>
      <c r="J162" s="35">
        <v>50</v>
      </c>
      <c r="K162" s="36"/>
      <c r="L162" s="36"/>
      <c r="M162" s="36"/>
      <c r="N162" s="36"/>
      <c r="O162" s="36"/>
      <c r="P162" s="36"/>
      <c r="Q162" s="36"/>
      <c r="R162" s="36"/>
      <c r="S162" s="36"/>
      <c r="T162" s="36"/>
    </row>
    <row r="163" spans="1:20" ht="15.75">
      <c r="A163" s="13">
        <v>46447</v>
      </c>
      <c r="B163" s="44">
        <v>31</v>
      </c>
      <c r="C163" s="35">
        <v>122.58</v>
      </c>
      <c r="D163" s="35">
        <v>297.94099999999997</v>
      </c>
      <c r="E163" s="41">
        <v>729.47900000000004</v>
      </c>
      <c r="F163" s="35">
        <v>1150</v>
      </c>
      <c r="G163" s="35">
        <v>100</v>
      </c>
      <c r="H163" s="43">
        <v>600</v>
      </c>
      <c r="I163" s="35">
        <v>695</v>
      </c>
      <c r="J163" s="35">
        <v>50</v>
      </c>
      <c r="K163" s="36"/>
      <c r="L163" s="36"/>
      <c r="M163" s="36"/>
      <c r="N163" s="36"/>
      <c r="O163" s="36"/>
      <c r="P163" s="36"/>
      <c r="Q163" s="36"/>
      <c r="R163" s="36"/>
      <c r="S163" s="36"/>
      <c r="T163" s="36"/>
    </row>
    <row r="164" spans="1:20" ht="15.75">
      <c r="A164" s="13">
        <v>46478</v>
      </c>
      <c r="B164" s="44">
        <v>30</v>
      </c>
      <c r="C164" s="35">
        <v>141.29300000000001</v>
      </c>
      <c r="D164" s="35">
        <v>267.99299999999999</v>
      </c>
      <c r="E164" s="41">
        <v>829.71400000000006</v>
      </c>
      <c r="F164" s="35">
        <v>1239</v>
      </c>
      <c r="G164" s="35">
        <v>100</v>
      </c>
      <c r="H164" s="43">
        <v>600</v>
      </c>
      <c r="I164" s="35">
        <v>695</v>
      </c>
      <c r="J164" s="35">
        <v>50</v>
      </c>
      <c r="K164" s="36"/>
      <c r="L164" s="36"/>
      <c r="M164" s="36"/>
      <c r="N164" s="36"/>
      <c r="O164" s="36"/>
      <c r="P164" s="36"/>
      <c r="Q164" s="36"/>
      <c r="R164" s="36"/>
      <c r="S164" s="36"/>
      <c r="T164" s="36"/>
    </row>
    <row r="165" spans="1:20" ht="15.75">
      <c r="A165" s="13">
        <v>46508</v>
      </c>
      <c r="B165" s="44">
        <v>31</v>
      </c>
      <c r="C165" s="35">
        <v>194.20500000000001</v>
      </c>
      <c r="D165" s="35">
        <v>267.46600000000001</v>
      </c>
      <c r="E165" s="41">
        <v>812.32899999999995</v>
      </c>
      <c r="F165" s="35">
        <v>1274</v>
      </c>
      <c r="G165" s="35">
        <v>75</v>
      </c>
      <c r="H165" s="43">
        <v>600</v>
      </c>
      <c r="I165" s="35">
        <v>695</v>
      </c>
      <c r="J165" s="35">
        <v>50</v>
      </c>
      <c r="K165" s="36"/>
      <c r="L165" s="36"/>
      <c r="M165" s="36"/>
      <c r="N165" s="36"/>
      <c r="O165" s="36"/>
      <c r="P165" s="36"/>
      <c r="Q165" s="36"/>
      <c r="R165" s="36"/>
      <c r="S165" s="36"/>
      <c r="T165" s="36"/>
    </row>
    <row r="166" spans="1:20" ht="15.75">
      <c r="A166" s="13">
        <v>46539</v>
      </c>
      <c r="B166" s="44">
        <v>30</v>
      </c>
      <c r="C166" s="35">
        <v>194.20500000000001</v>
      </c>
      <c r="D166" s="35">
        <v>267.46600000000001</v>
      </c>
      <c r="E166" s="41">
        <v>812.32899999999995</v>
      </c>
      <c r="F166" s="35">
        <v>1274</v>
      </c>
      <c r="G166" s="35">
        <v>50</v>
      </c>
      <c r="H166" s="43">
        <v>600</v>
      </c>
      <c r="I166" s="35">
        <v>695</v>
      </c>
      <c r="J166" s="35">
        <v>50</v>
      </c>
      <c r="K166" s="36"/>
      <c r="L166" s="36"/>
      <c r="M166" s="36"/>
      <c r="N166" s="36"/>
      <c r="O166" s="36"/>
      <c r="P166" s="36"/>
      <c r="Q166" s="36"/>
      <c r="R166" s="36"/>
      <c r="S166" s="36"/>
      <c r="T166" s="36"/>
    </row>
    <row r="167" spans="1:20" ht="15.75">
      <c r="A167" s="13">
        <v>46569</v>
      </c>
      <c r="B167" s="44">
        <v>31</v>
      </c>
      <c r="C167" s="35">
        <v>194.20500000000001</v>
      </c>
      <c r="D167" s="35">
        <v>267.46600000000001</v>
      </c>
      <c r="E167" s="41">
        <v>812.32899999999995</v>
      </c>
      <c r="F167" s="35">
        <v>1274</v>
      </c>
      <c r="G167" s="35">
        <v>50</v>
      </c>
      <c r="H167" s="43">
        <v>600</v>
      </c>
      <c r="I167" s="35">
        <v>695</v>
      </c>
      <c r="J167" s="35">
        <v>0</v>
      </c>
      <c r="K167" s="36"/>
      <c r="L167" s="36"/>
      <c r="M167" s="36"/>
      <c r="N167" s="36"/>
      <c r="O167" s="36"/>
      <c r="P167" s="36"/>
      <c r="Q167" s="36"/>
      <c r="R167" s="36"/>
      <c r="S167" s="36"/>
      <c r="T167" s="36"/>
    </row>
    <row r="168" spans="1:20" ht="15.75">
      <c r="A168" s="13">
        <v>46600</v>
      </c>
      <c r="B168" s="44">
        <v>31</v>
      </c>
      <c r="C168" s="35">
        <v>194.20500000000001</v>
      </c>
      <c r="D168" s="35">
        <v>267.46600000000001</v>
      </c>
      <c r="E168" s="41">
        <v>812.32899999999995</v>
      </c>
      <c r="F168" s="35">
        <v>1274</v>
      </c>
      <c r="G168" s="35">
        <v>50</v>
      </c>
      <c r="H168" s="43">
        <v>600</v>
      </c>
      <c r="I168" s="35">
        <v>695</v>
      </c>
      <c r="J168" s="35">
        <v>0</v>
      </c>
      <c r="K168" s="36"/>
      <c r="L168" s="36"/>
      <c r="M168" s="36"/>
      <c r="N168" s="36"/>
      <c r="O168" s="36"/>
      <c r="P168" s="36"/>
      <c r="Q168" s="36"/>
      <c r="R168" s="36"/>
      <c r="S168" s="36"/>
      <c r="T168" s="36"/>
    </row>
    <row r="169" spans="1:20" ht="15.75">
      <c r="A169" s="13">
        <v>46631</v>
      </c>
      <c r="B169" s="44">
        <v>30</v>
      </c>
      <c r="C169" s="35">
        <v>194.20500000000001</v>
      </c>
      <c r="D169" s="35">
        <v>267.46600000000001</v>
      </c>
      <c r="E169" s="41">
        <v>812.32899999999995</v>
      </c>
      <c r="F169" s="35">
        <v>1274</v>
      </c>
      <c r="G169" s="35">
        <v>50</v>
      </c>
      <c r="H169" s="43">
        <v>600</v>
      </c>
      <c r="I169" s="35">
        <v>695</v>
      </c>
      <c r="J169" s="35">
        <v>0</v>
      </c>
      <c r="K169" s="36"/>
      <c r="L169" s="36"/>
      <c r="M169" s="36"/>
      <c r="N169" s="36"/>
      <c r="O169" s="36"/>
      <c r="P169" s="36"/>
      <c r="Q169" s="36"/>
      <c r="R169" s="36"/>
      <c r="S169" s="36"/>
      <c r="T169" s="36"/>
    </row>
    <row r="170" spans="1:20" ht="15.75">
      <c r="A170" s="13">
        <v>46661</v>
      </c>
      <c r="B170" s="44">
        <v>31</v>
      </c>
      <c r="C170" s="35">
        <v>131.881</v>
      </c>
      <c r="D170" s="35">
        <v>277.16699999999997</v>
      </c>
      <c r="E170" s="41">
        <v>829.952</v>
      </c>
      <c r="F170" s="35">
        <v>1239</v>
      </c>
      <c r="G170" s="35">
        <v>75</v>
      </c>
      <c r="H170" s="43">
        <v>600</v>
      </c>
      <c r="I170" s="35">
        <v>695</v>
      </c>
      <c r="J170" s="35">
        <v>0</v>
      </c>
      <c r="K170" s="36"/>
      <c r="L170" s="36"/>
      <c r="M170" s="36"/>
      <c r="N170" s="36"/>
      <c r="O170" s="36"/>
      <c r="P170" s="36"/>
      <c r="Q170" s="36"/>
      <c r="R170" s="36"/>
      <c r="S170" s="36"/>
      <c r="T170" s="36"/>
    </row>
    <row r="171" spans="1:20" ht="15.75">
      <c r="A171" s="13">
        <v>46692</v>
      </c>
      <c r="B171" s="44">
        <v>30</v>
      </c>
      <c r="C171" s="35">
        <v>122.58</v>
      </c>
      <c r="D171" s="35">
        <v>297.94099999999997</v>
      </c>
      <c r="E171" s="41">
        <v>729.47900000000004</v>
      </c>
      <c r="F171" s="35">
        <v>1150</v>
      </c>
      <c r="G171" s="35">
        <v>100</v>
      </c>
      <c r="H171" s="43">
        <v>600</v>
      </c>
      <c r="I171" s="35">
        <v>695</v>
      </c>
      <c r="J171" s="35">
        <v>50</v>
      </c>
      <c r="K171" s="36"/>
      <c r="L171" s="36"/>
      <c r="M171" s="36"/>
      <c r="N171" s="36"/>
      <c r="O171" s="36"/>
      <c r="P171" s="36"/>
      <c r="Q171" s="36"/>
      <c r="R171" s="36"/>
      <c r="S171" s="36"/>
      <c r="T171" s="36"/>
    </row>
    <row r="172" spans="1:20" ht="15.75">
      <c r="A172" s="13">
        <v>46722</v>
      </c>
      <c r="B172" s="44">
        <v>31</v>
      </c>
      <c r="C172" s="35">
        <v>122.58</v>
      </c>
      <c r="D172" s="35">
        <v>297.94099999999997</v>
      </c>
      <c r="E172" s="41">
        <v>729.47900000000004</v>
      </c>
      <c r="F172" s="35">
        <v>1150</v>
      </c>
      <c r="G172" s="35">
        <v>100</v>
      </c>
      <c r="H172" s="43">
        <v>600</v>
      </c>
      <c r="I172" s="35">
        <v>695</v>
      </c>
      <c r="J172" s="35">
        <v>50</v>
      </c>
      <c r="K172" s="36"/>
      <c r="L172" s="36"/>
      <c r="M172" s="36"/>
      <c r="N172" s="36"/>
      <c r="O172" s="36"/>
      <c r="P172" s="36"/>
      <c r="Q172" s="36"/>
      <c r="R172" s="36"/>
      <c r="S172" s="36"/>
      <c r="T172" s="36"/>
    </row>
    <row r="173" spans="1:20" ht="15.75">
      <c r="A173" s="13">
        <v>46753</v>
      </c>
      <c r="B173" s="44">
        <v>31</v>
      </c>
      <c r="C173" s="35">
        <v>122.58</v>
      </c>
      <c r="D173" s="35">
        <v>297.94099999999997</v>
      </c>
      <c r="E173" s="41">
        <v>729.47900000000004</v>
      </c>
      <c r="F173" s="35">
        <v>1150</v>
      </c>
      <c r="G173" s="35">
        <v>100</v>
      </c>
      <c r="H173" s="43">
        <v>600</v>
      </c>
      <c r="I173" s="35">
        <v>695</v>
      </c>
      <c r="J173" s="35">
        <v>50</v>
      </c>
      <c r="K173" s="36"/>
      <c r="L173" s="36"/>
      <c r="M173" s="36"/>
      <c r="N173" s="36"/>
      <c r="O173" s="36"/>
      <c r="P173" s="36"/>
      <c r="Q173" s="36"/>
      <c r="R173" s="36"/>
      <c r="S173" s="36"/>
      <c r="T173" s="36"/>
    </row>
    <row r="174" spans="1:20" ht="15.75">
      <c r="A174" s="13">
        <v>46784</v>
      </c>
      <c r="B174" s="44">
        <v>29</v>
      </c>
      <c r="C174" s="35">
        <v>122.58</v>
      </c>
      <c r="D174" s="35">
        <v>297.94099999999997</v>
      </c>
      <c r="E174" s="41">
        <v>729.47900000000004</v>
      </c>
      <c r="F174" s="35">
        <v>1150</v>
      </c>
      <c r="G174" s="35">
        <v>100</v>
      </c>
      <c r="H174" s="43">
        <v>600</v>
      </c>
      <c r="I174" s="35">
        <v>695</v>
      </c>
      <c r="J174" s="35">
        <v>50</v>
      </c>
      <c r="K174" s="36"/>
      <c r="L174" s="36"/>
      <c r="M174" s="36"/>
      <c r="N174" s="36"/>
      <c r="O174" s="36"/>
      <c r="P174" s="36"/>
      <c r="Q174" s="36"/>
      <c r="R174" s="36"/>
      <c r="S174" s="36"/>
      <c r="T174" s="36"/>
    </row>
    <row r="175" spans="1:20" ht="15.75">
      <c r="A175" s="13">
        <v>46813</v>
      </c>
      <c r="B175" s="44">
        <v>31</v>
      </c>
      <c r="C175" s="35">
        <v>122.58</v>
      </c>
      <c r="D175" s="35">
        <v>297.94099999999997</v>
      </c>
      <c r="E175" s="41">
        <v>729.47900000000004</v>
      </c>
      <c r="F175" s="35">
        <v>1150</v>
      </c>
      <c r="G175" s="35">
        <v>100</v>
      </c>
      <c r="H175" s="43">
        <v>600</v>
      </c>
      <c r="I175" s="35">
        <v>695</v>
      </c>
      <c r="J175" s="35">
        <v>50</v>
      </c>
      <c r="K175" s="36"/>
      <c r="L175" s="36"/>
      <c r="M175" s="36"/>
      <c r="N175" s="36"/>
      <c r="O175" s="36"/>
      <c r="P175" s="36"/>
      <c r="Q175" s="36"/>
      <c r="R175" s="36"/>
      <c r="S175" s="36"/>
      <c r="T175" s="36"/>
    </row>
    <row r="176" spans="1:20" ht="15.75">
      <c r="A176" s="13">
        <v>46844</v>
      </c>
      <c r="B176" s="44">
        <v>30</v>
      </c>
      <c r="C176" s="35">
        <v>141.29300000000001</v>
      </c>
      <c r="D176" s="35">
        <v>267.99299999999999</v>
      </c>
      <c r="E176" s="41">
        <v>829.71400000000006</v>
      </c>
      <c r="F176" s="35">
        <v>1239</v>
      </c>
      <c r="G176" s="35">
        <v>100</v>
      </c>
      <c r="H176" s="43">
        <v>600</v>
      </c>
      <c r="I176" s="35">
        <v>695</v>
      </c>
      <c r="J176" s="35">
        <v>50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</row>
    <row r="177" spans="1:20" ht="15.75">
      <c r="A177" s="13">
        <v>46874</v>
      </c>
      <c r="B177" s="44">
        <v>31</v>
      </c>
      <c r="C177" s="35">
        <v>194.20500000000001</v>
      </c>
      <c r="D177" s="35">
        <v>267.46600000000001</v>
      </c>
      <c r="E177" s="41">
        <v>812.32899999999995</v>
      </c>
      <c r="F177" s="35">
        <v>1274</v>
      </c>
      <c r="G177" s="35">
        <v>75</v>
      </c>
      <c r="H177" s="43">
        <v>600</v>
      </c>
      <c r="I177" s="35">
        <v>695</v>
      </c>
      <c r="J177" s="35">
        <v>50</v>
      </c>
      <c r="K177" s="36"/>
      <c r="L177" s="36"/>
      <c r="M177" s="36"/>
      <c r="N177" s="36"/>
      <c r="O177" s="36"/>
      <c r="P177" s="36"/>
      <c r="Q177" s="36"/>
      <c r="R177" s="36"/>
      <c r="S177" s="36"/>
      <c r="T177" s="36"/>
    </row>
    <row r="178" spans="1:20" ht="15.75">
      <c r="A178" s="13">
        <v>46905</v>
      </c>
      <c r="B178" s="44">
        <v>30</v>
      </c>
      <c r="C178" s="35">
        <v>194.20500000000001</v>
      </c>
      <c r="D178" s="35">
        <v>267.46600000000001</v>
      </c>
      <c r="E178" s="41">
        <v>812.32899999999995</v>
      </c>
      <c r="F178" s="35">
        <v>1274</v>
      </c>
      <c r="G178" s="35">
        <v>50</v>
      </c>
      <c r="H178" s="43">
        <v>600</v>
      </c>
      <c r="I178" s="35">
        <v>695</v>
      </c>
      <c r="J178" s="35">
        <v>50</v>
      </c>
      <c r="K178" s="36"/>
      <c r="L178" s="36"/>
      <c r="M178" s="36"/>
      <c r="N178" s="36"/>
      <c r="O178" s="36"/>
      <c r="P178" s="36"/>
      <c r="Q178" s="36"/>
      <c r="R178" s="36"/>
      <c r="S178" s="36"/>
      <c r="T178" s="36"/>
    </row>
    <row r="179" spans="1:20" ht="15.75">
      <c r="A179" s="13">
        <v>46935</v>
      </c>
      <c r="B179" s="44">
        <v>31</v>
      </c>
      <c r="C179" s="35">
        <v>194.20500000000001</v>
      </c>
      <c r="D179" s="35">
        <v>267.46600000000001</v>
      </c>
      <c r="E179" s="41">
        <v>812.32899999999995</v>
      </c>
      <c r="F179" s="35">
        <v>1274</v>
      </c>
      <c r="G179" s="35">
        <v>50</v>
      </c>
      <c r="H179" s="43">
        <v>600</v>
      </c>
      <c r="I179" s="35">
        <v>695</v>
      </c>
      <c r="J179" s="35">
        <v>0</v>
      </c>
      <c r="K179" s="36"/>
      <c r="L179" s="36"/>
      <c r="M179" s="36"/>
      <c r="N179" s="36"/>
      <c r="O179" s="36"/>
      <c r="P179" s="36"/>
      <c r="Q179" s="36"/>
      <c r="R179" s="36"/>
      <c r="S179" s="36"/>
      <c r="T179" s="36"/>
    </row>
    <row r="180" spans="1:20" ht="15.75">
      <c r="A180" s="13">
        <v>46966</v>
      </c>
      <c r="B180" s="44">
        <v>31</v>
      </c>
      <c r="C180" s="35">
        <v>194.20500000000001</v>
      </c>
      <c r="D180" s="35">
        <v>267.46600000000001</v>
      </c>
      <c r="E180" s="41">
        <v>812.32899999999995</v>
      </c>
      <c r="F180" s="35">
        <v>1274</v>
      </c>
      <c r="G180" s="35">
        <v>50</v>
      </c>
      <c r="H180" s="43">
        <v>600</v>
      </c>
      <c r="I180" s="35">
        <v>695</v>
      </c>
      <c r="J180" s="35">
        <v>0</v>
      </c>
      <c r="K180" s="36"/>
      <c r="L180" s="36"/>
      <c r="M180" s="36"/>
      <c r="N180" s="36"/>
      <c r="O180" s="36"/>
      <c r="P180" s="36"/>
      <c r="Q180" s="36"/>
      <c r="R180" s="36"/>
      <c r="S180" s="36"/>
      <c r="T180" s="36"/>
    </row>
    <row r="181" spans="1:20" ht="15.75">
      <c r="A181" s="13">
        <v>46997</v>
      </c>
      <c r="B181" s="44">
        <v>30</v>
      </c>
      <c r="C181" s="35">
        <v>194.20500000000001</v>
      </c>
      <c r="D181" s="35">
        <v>267.46600000000001</v>
      </c>
      <c r="E181" s="41">
        <v>812.32899999999995</v>
      </c>
      <c r="F181" s="35">
        <v>1274</v>
      </c>
      <c r="G181" s="35">
        <v>50</v>
      </c>
      <c r="H181" s="43">
        <v>600</v>
      </c>
      <c r="I181" s="35">
        <v>695</v>
      </c>
      <c r="J181" s="35">
        <v>0</v>
      </c>
      <c r="K181" s="36"/>
      <c r="L181" s="36"/>
      <c r="M181" s="36"/>
      <c r="N181" s="36"/>
      <c r="O181" s="36"/>
      <c r="P181" s="36"/>
      <c r="Q181" s="36"/>
      <c r="R181" s="36"/>
      <c r="S181" s="36"/>
      <c r="T181" s="36"/>
    </row>
    <row r="182" spans="1:20" ht="15.75">
      <c r="A182" s="13">
        <v>47027</v>
      </c>
      <c r="B182" s="44">
        <v>31</v>
      </c>
      <c r="C182" s="35">
        <v>131.881</v>
      </c>
      <c r="D182" s="35">
        <v>277.16699999999997</v>
      </c>
      <c r="E182" s="41">
        <v>829.952</v>
      </c>
      <c r="F182" s="35">
        <v>1239</v>
      </c>
      <c r="G182" s="35">
        <v>75</v>
      </c>
      <c r="H182" s="43">
        <v>600</v>
      </c>
      <c r="I182" s="35">
        <v>695</v>
      </c>
      <c r="J182" s="35">
        <v>0</v>
      </c>
      <c r="K182" s="36"/>
      <c r="L182" s="36"/>
      <c r="M182" s="36"/>
      <c r="N182" s="36"/>
      <c r="O182" s="36"/>
      <c r="P182" s="36"/>
      <c r="Q182" s="36"/>
      <c r="R182" s="36"/>
      <c r="S182" s="36"/>
      <c r="T182" s="36"/>
    </row>
    <row r="183" spans="1:20" ht="15.75">
      <c r="A183" s="13">
        <v>47058</v>
      </c>
      <c r="B183" s="44">
        <v>30</v>
      </c>
      <c r="C183" s="35">
        <v>122.58</v>
      </c>
      <c r="D183" s="35">
        <v>297.94099999999997</v>
      </c>
      <c r="E183" s="41">
        <v>729.47900000000004</v>
      </c>
      <c r="F183" s="35">
        <v>1150</v>
      </c>
      <c r="G183" s="35">
        <v>100</v>
      </c>
      <c r="H183" s="43">
        <v>600</v>
      </c>
      <c r="I183" s="35">
        <v>695</v>
      </c>
      <c r="J183" s="35">
        <v>50</v>
      </c>
      <c r="K183" s="36"/>
      <c r="L183" s="36"/>
      <c r="M183" s="36"/>
      <c r="N183" s="36"/>
      <c r="O183" s="36"/>
      <c r="P183" s="36"/>
      <c r="Q183" s="36"/>
      <c r="R183" s="36"/>
      <c r="S183" s="36"/>
      <c r="T183" s="36"/>
    </row>
    <row r="184" spans="1:20" ht="15.75">
      <c r="A184" s="13">
        <v>47088</v>
      </c>
      <c r="B184" s="44">
        <v>31</v>
      </c>
      <c r="C184" s="35">
        <v>122.58</v>
      </c>
      <c r="D184" s="35">
        <v>297.94099999999997</v>
      </c>
      <c r="E184" s="41">
        <v>729.47900000000004</v>
      </c>
      <c r="F184" s="35">
        <v>1150</v>
      </c>
      <c r="G184" s="35">
        <v>100</v>
      </c>
      <c r="H184" s="43">
        <v>600</v>
      </c>
      <c r="I184" s="35">
        <v>695</v>
      </c>
      <c r="J184" s="35">
        <v>50</v>
      </c>
      <c r="K184" s="36"/>
      <c r="L184" s="36"/>
      <c r="M184" s="36"/>
      <c r="N184" s="36"/>
      <c r="O184" s="36"/>
      <c r="P184" s="36"/>
      <c r="Q184" s="36"/>
      <c r="R184" s="36"/>
      <c r="S184" s="36"/>
      <c r="T184" s="36"/>
    </row>
    <row r="185" spans="1:20" ht="15.75">
      <c r="A185" s="13">
        <v>47119</v>
      </c>
      <c r="B185" s="44">
        <v>31</v>
      </c>
      <c r="C185" s="35">
        <v>122.58</v>
      </c>
      <c r="D185" s="35">
        <v>297.94099999999997</v>
      </c>
      <c r="E185" s="41">
        <v>729.47900000000004</v>
      </c>
      <c r="F185" s="35">
        <v>1150</v>
      </c>
      <c r="G185" s="35">
        <v>100</v>
      </c>
      <c r="H185" s="43">
        <v>600</v>
      </c>
      <c r="I185" s="35">
        <v>695</v>
      </c>
      <c r="J185" s="35">
        <v>50</v>
      </c>
      <c r="K185" s="36"/>
      <c r="L185" s="36"/>
      <c r="M185" s="36"/>
      <c r="N185" s="36"/>
      <c r="O185" s="36"/>
      <c r="P185" s="36"/>
      <c r="Q185" s="36"/>
      <c r="R185" s="36"/>
      <c r="S185" s="36"/>
      <c r="T185" s="36"/>
    </row>
    <row r="186" spans="1:20" ht="15.75">
      <c r="A186" s="13">
        <v>47150</v>
      </c>
      <c r="B186" s="44">
        <v>28</v>
      </c>
      <c r="C186" s="35">
        <v>122.58</v>
      </c>
      <c r="D186" s="35">
        <v>297.94099999999997</v>
      </c>
      <c r="E186" s="41">
        <v>729.47900000000004</v>
      </c>
      <c r="F186" s="35">
        <v>1150</v>
      </c>
      <c r="G186" s="35">
        <v>100</v>
      </c>
      <c r="H186" s="43">
        <v>600</v>
      </c>
      <c r="I186" s="35">
        <v>695</v>
      </c>
      <c r="J186" s="35">
        <v>50</v>
      </c>
      <c r="K186" s="36"/>
      <c r="L186" s="36"/>
      <c r="M186" s="36"/>
      <c r="N186" s="36"/>
      <c r="O186" s="36"/>
      <c r="P186" s="36"/>
      <c r="Q186" s="36"/>
      <c r="R186" s="36"/>
      <c r="S186" s="36"/>
      <c r="T186" s="36"/>
    </row>
    <row r="187" spans="1:20" ht="15.75">
      <c r="A187" s="13">
        <v>47178</v>
      </c>
      <c r="B187" s="44">
        <v>31</v>
      </c>
      <c r="C187" s="35">
        <v>122.58</v>
      </c>
      <c r="D187" s="35">
        <v>297.94099999999997</v>
      </c>
      <c r="E187" s="41">
        <v>729.47900000000004</v>
      </c>
      <c r="F187" s="35">
        <v>1150</v>
      </c>
      <c r="G187" s="35">
        <v>100</v>
      </c>
      <c r="H187" s="43">
        <v>600</v>
      </c>
      <c r="I187" s="35">
        <v>695</v>
      </c>
      <c r="J187" s="35">
        <v>50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</row>
    <row r="188" spans="1:20" ht="15.75">
      <c r="A188" s="13">
        <v>47209</v>
      </c>
      <c r="B188" s="44">
        <v>30</v>
      </c>
      <c r="C188" s="35">
        <v>141.29300000000001</v>
      </c>
      <c r="D188" s="35">
        <v>267.99299999999999</v>
      </c>
      <c r="E188" s="41">
        <v>829.71400000000006</v>
      </c>
      <c r="F188" s="35">
        <v>1239</v>
      </c>
      <c r="G188" s="35">
        <v>100</v>
      </c>
      <c r="H188" s="43">
        <v>600</v>
      </c>
      <c r="I188" s="35">
        <v>695</v>
      </c>
      <c r="J188" s="35">
        <v>50</v>
      </c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ht="15.75">
      <c r="A189" s="13">
        <v>47239</v>
      </c>
      <c r="B189" s="44">
        <v>31</v>
      </c>
      <c r="C189" s="35">
        <v>194.20500000000001</v>
      </c>
      <c r="D189" s="35">
        <v>267.46600000000001</v>
      </c>
      <c r="E189" s="41">
        <v>812.32899999999995</v>
      </c>
      <c r="F189" s="35">
        <v>1274</v>
      </c>
      <c r="G189" s="35">
        <v>75</v>
      </c>
      <c r="H189" s="43">
        <v>600</v>
      </c>
      <c r="I189" s="35">
        <v>695</v>
      </c>
      <c r="J189" s="35">
        <v>50</v>
      </c>
      <c r="K189" s="36"/>
      <c r="L189" s="36"/>
      <c r="M189" s="36"/>
      <c r="N189" s="36"/>
      <c r="O189" s="36"/>
      <c r="P189" s="36"/>
      <c r="Q189" s="36"/>
      <c r="R189" s="36"/>
      <c r="S189" s="36"/>
      <c r="T189" s="36"/>
    </row>
    <row r="190" spans="1:20" ht="15.75">
      <c r="A190" s="13">
        <v>47270</v>
      </c>
      <c r="B190" s="44">
        <v>30</v>
      </c>
      <c r="C190" s="35">
        <v>194.20500000000001</v>
      </c>
      <c r="D190" s="35">
        <v>267.46600000000001</v>
      </c>
      <c r="E190" s="41">
        <v>812.32899999999995</v>
      </c>
      <c r="F190" s="35">
        <v>1274</v>
      </c>
      <c r="G190" s="35">
        <v>50</v>
      </c>
      <c r="H190" s="43">
        <v>600</v>
      </c>
      <c r="I190" s="35">
        <v>695</v>
      </c>
      <c r="J190" s="35">
        <v>50</v>
      </c>
      <c r="K190" s="36"/>
      <c r="L190" s="36"/>
      <c r="M190" s="36"/>
      <c r="N190" s="36"/>
      <c r="O190" s="36"/>
      <c r="P190" s="36"/>
      <c r="Q190" s="36"/>
      <c r="R190" s="36"/>
      <c r="S190" s="36"/>
      <c r="T190" s="36"/>
    </row>
    <row r="191" spans="1:20" ht="15.75">
      <c r="A191" s="13">
        <v>47300</v>
      </c>
      <c r="B191" s="44">
        <v>31</v>
      </c>
      <c r="C191" s="35">
        <v>194.20500000000001</v>
      </c>
      <c r="D191" s="35">
        <v>267.46600000000001</v>
      </c>
      <c r="E191" s="41">
        <v>812.32899999999995</v>
      </c>
      <c r="F191" s="35">
        <v>1274</v>
      </c>
      <c r="G191" s="35">
        <v>50</v>
      </c>
      <c r="H191" s="43">
        <v>600</v>
      </c>
      <c r="I191" s="35">
        <v>695</v>
      </c>
      <c r="J191" s="35">
        <v>0</v>
      </c>
      <c r="K191" s="36"/>
      <c r="L191" s="36"/>
      <c r="M191" s="36"/>
      <c r="N191" s="36"/>
      <c r="O191" s="36"/>
      <c r="P191" s="36"/>
      <c r="Q191" s="36"/>
      <c r="R191" s="36"/>
      <c r="S191" s="36"/>
      <c r="T191" s="36"/>
    </row>
    <row r="192" spans="1:20" ht="15.75">
      <c r="A192" s="13">
        <v>47331</v>
      </c>
      <c r="B192" s="44">
        <v>31</v>
      </c>
      <c r="C192" s="35">
        <v>194.20500000000001</v>
      </c>
      <c r="D192" s="35">
        <v>267.46600000000001</v>
      </c>
      <c r="E192" s="41">
        <v>812.32899999999995</v>
      </c>
      <c r="F192" s="35">
        <v>1274</v>
      </c>
      <c r="G192" s="35">
        <v>50</v>
      </c>
      <c r="H192" s="43">
        <v>600</v>
      </c>
      <c r="I192" s="35">
        <v>695</v>
      </c>
      <c r="J192" s="35">
        <v>0</v>
      </c>
      <c r="K192" s="36"/>
      <c r="L192" s="36"/>
      <c r="M192" s="36"/>
      <c r="N192" s="36"/>
      <c r="O192" s="36"/>
      <c r="P192" s="36"/>
      <c r="Q192" s="36"/>
      <c r="R192" s="36"/>
      <c r="S192" s="36"/>
      <c r="T192" s="36"/>
    </row>
    <row r="193" spans="1:20" ht="15.75">
      <c r="A193" s="13">
        <v>47362</v>
      </c>
      <c r="B193" s="44">
        <v>30</v>
      </c>
      <c r="C193" s="35">
        <v>194.20500000000001</v>
      </c>
      <c r="D193" s="35">
        <v>267.46600000000001</v>
      </c>
      <c r="E193" s="41">
        <v>812.32899999999995</v>
      </c>
      <c r="F193" s="35">
        <v>1274</v>
      </c>
      <c r="G193" s="35">
        <v>50</v>
      </c>
      <c r="H193" s="43">
        <v>600</v>
      </c>
      <c r="I193" s="35">
        <v>695</v>
      </c>
      <c r="J193" s="35">
        <v>0</v>
      </c>
      <c r="K193" s="36"/>
      <c r="L193" s="36"/>
      <c r="M193" s="36"/>
      <c r="N193" s="36"/>
      <c r="O193" s="36"/>
      <c r="P193" s="36"/>
      <c r="Q193" s="36"/>
      <c r="R193" s="36"/>
      <c r="S193" s="36"/>
      <c r="T193" s="36"/>
    </row>
    <row r="194" spans="1:20" ht="15.75">
      <c r="A194" s="13">
        <v>47392</v>
      </c>
      <c r="B194" s="44">
        <v>31</v>
      </c>
      <c r="C194" s="35">
        <v>131.881</v>
      </c>
      <c r="D194" s="35">
        <v>277.16699999999997</v>
      </c>
      <c r="E194" s="41">
        <v>829.952</v>
      </c>
      <c r="F194" s="35">
        <v>1239</v>
      </c>
      <c r="G194" s="35">
        <v>75</v>
      </c>
      <c r="H194" s="43">
        <v>600</v>
      </c>
      <c r="I194" s="35">
        <v>695</v>
      </c>
      <c r="J194" s="35">
        <v>0</v>
      </c>
      <c r="K194" s="36"/>
      <c r="L194" s="36"/>
      <c r="M194" s="36"/>
      <c r="N194" s="36"/>
      <c r="O194" s="36"/>
      <c r="P194" s="36"/>
      <c r="Q194" s="36"/>
      <c r="R194" s="36"/>
      <c r="S194" s="36"/>
      <c r="T194" s="36"/>
    </row>
    <row r="195" spans="1:20" ht="15.75">
      <c r="A195" s="13">
        <v>47423</v>
      </c>
      <c r="B195" s="44">
        <v>30</v>
      </c>
      <c r="C195" s="35">
        <v>122.58</v>
      </c>
      <c r="D195" s="35">
        <v>297.94099999999997</v>
      </c>
      <c r="E195" s="41">
        <v>729.47900000000004</v>
      </c>
      <c r="F195" s="35">
        <v>1150</v>
      </c>
      <c r="G195" s="35">
        <v>100</v>
      </c>
      <c r="H195" s="43">
        <v>600</v>
      </c>
      <c r="I195" s="35">
        <v>695</v>
      </c>
      <c r="J195" s="35">
        <v>50</v>
      </c>
      <c r="K195" s="36"/>
      <c r="L195" s="36"/>
      <c r="M195" s="36"/>
      <c r="N195" s="36"/>
      <c r="O195" s="36"/>
      <c r="P195" s="36"/>
      <c r="Q195" s="36"/>
      <c r="R195" s="36"/>
      <c r="S195" s="36"/>
      <c r="T195" s="36"/>
    </row>
    <row r="196" spans="1:20" ht="15.75">
      <c r="A196" s="13">
        <v>47453</v>
      </c>
      <c r="B196" s="44">
        <v>31</v>
      </c>
      <c r="C196" s="35">
        <v>122.58</v>
      </c>
      <c r="D196" s="35">
        <v>297.94099999999997</v>
      </c>
      <c r="E196" s="41">
        <v>729.47900000000004</v>
      </c>
      <c r="F196" s="35">
        <v>1150</v>
      </c>
      <c r="G196" s="35">
        <v>100</v>
      </c>
      <c r="H196" s="43">
        <v>600</v>
      </c>
      <c r="I196" s="35">
        <v>695</v>
      </c>
      <c r="J196" s="35">
        <v>50</v>
      </c>
      <c r="K196" s="36"/>
      <c r="L196" s="36"/>
      <c r="M196" s="36"/>
      <c r="N196" s="36"/>
      <c r="O196" s="36"/>
      <c r="P196" s="36"/>
      <c r="Q196" s="36"/>
      <c r="R196" s="36"/>
      <c r="S196" s="36"/>
      <c r="T196" s="36"/>
    </row>
    <row r="197" spans="1:20" ht="15.75">
      <c r="A197" s="13">
        <v>47484</v>
      </c>
      <c r="B197" s="44">
        <v>31</v>
      </c>
      <c r="C197" s="35">
        <v>122.58</v>
      </c>
      <c r="D197" s="35">
        <v>297.94099999999997</v>
      </c>
      <c r="E197" s="41">
        <v>729.47900000000004</v>
      </c>
      <c r="F197" s="35">
        <v>1150</v>
      </c>
      <c r="G197" s="35">
        <v>100</v>
      </c>
      <c r="H197" s="43">
        <v>600</v>
      </c>
      <c r="I197" s="35">
        <v>695</v>
      </c>
      <c r="J197" s="35">
        <v>50</v>
      </c>
      <c r="K197" s="36"/>
      <c r="L197" s="36"/>
      <c r="M197" s="36"/>
      <c r="N197" s="36"/>
      <c r="O197" s="36"/>
      <c r="P197" s="36"/>
      <c r="Q197" s="36"/>
      <c r="R197" s="36"/>
      <c r="S197" s="36"/>
      <c r="T197" s="36"/>
    </row>
    <row r="198" spans="1:20" ht="15.75">
      <c r="A198" s="13">
        <v>47515</v>
      </c>
      <c r="B198" s="44">
        <v>28</v>
      </c>
      <c r="C198" s="35">
        <v>122.58</v>
      </c>
      <c r="D198" s="35">
        <v>297.94099999999997</v>
      </c>
      <c r="E198" s="41">
        <v>729.47900000000004</v>
      </c>
      <c r="F198" s="35">
        <v>1150</v>
      </c>
      <c r="G198" s="35">
        <v>100</v>
      </c>
      <c r="H198" s="43">
        <v>600</v>
      </c>
      <c r="I198" s="35">
        <v>695</v>
      </c>
      <c r="J198" s="35">
        <v>50</v>
      </c>
      <c r="K198" s="36"/>
      <c r="L198" s="36"/>
      <c r="M198" s="36"/>
      <c r="N198" s="36"/>
      <c r="O198" s="36"/>
      <c r="P198" s="36"/>
      <c r="Q198" s="36"/>
      <c r="R198" s="36"/>
      <c r="S198" s="36"/>
      <c r="T198" s="36"/>
    </row>
    <row r="199" spans="1:20" ht="15.75">
      <c r="A199" s="13">
        <v>47543</v>
      </c>
      <c r="B199" s="44">
        <v>31</v>
      </c>
      <c r="C199" s="35">
        <v>122.58</v>
      </c>
      <c r="D199" s="35">
        <v>297.94099999999997</v>
      </c>
      <c r="E199" s="41">
        <v>729.47900000000004</v>
      </c>
      <c r="F199" s="35">
        <v>1150</v>
      </c>
      <c r="G199" s="35">
        <v>100</v>
      </c>
      <c r="H199" s="43">
        <v>600</v>
      </c>
      <c r="I199" s="35">
        <v>695</v>
      </c>
      <c r="J199" s="35">
        <v>50</v>
      </c>
      <c r="K199" s="36"/>
      <c r="L199" s="36"/>
      <c r="M199" s="36"/>
      <c r="N199" s="36"/>
      <c r="O199" s="36"/>
      <c r="P199" s="36"/>
      <c r="Q199" s="36"/>
      <c r="R199" s="36"/>
      <c r="S199" s="36"/>
      <c r="T199" s="36"/>
    </row>
    <row r="200" spans="1:20" ht="15.75">
      <c r="A200" s="13">
        <v>47574</v>
      </c>
      <c r="B200" s="44">
        <v>30</v>
      </c>
      <c r="C200" s="35">
        <v>141.29300000000001</v>
      </c>
      <c r="D200" s="35">
        <v>267.99299999999999</v>
      </c>
      <c r="E200" s="41">
        <v>829.71400000000006</v>
      </c>
      <c r="F200" s="35">
        <v>1239</v>
      </c>
      <c r="G200" s="35">
        <v>100</v>
      </c>
      <c r="H200" s="43">
        <v>600</v>
      </c>
      <c r="I200" s="35">
        <v>695</v>
      </c>
      <c r="J200" s="35">
        <v>50</v>
      </c>
      <c r="K200" s="36"/>
      <c r="L200" s="36"/>
      <c r="M200" s="36"/>
      <c r="N200" s="36"/>
      <c r="O200" s="36"/>
      <c r="P200" s="36"/>
      <c r="Q200" s="36"/>
      <c r="R200" s="36"/>
      <c r="S200" s="36"/>
      <c r="T200" s="36"/>
    </row>
    <row r="201" spans="1:20" ht="15.75">
      <c r="A201" s="13">
        <v>47604</v>
      </c>
      <c r="B201" s="44">
        <v>31</v>
      </c>
      <c r="C201" s="35">
        <v>194.20500000000001</v>
      </c>
      <c r="D201" s="35">
        <v>267.46600000000001</v>
      </c>
      <c r="E201" s="41">
        <v>812.32899999999995</v>
      </c>
      <c r="F201" s="35">
        <v>1274</v>
      </c>
      <c r="G201" s="35">
        <v>75</v>
      </c>
      <c r="H201" s="43">
        <v>600</v>
      </c>
      <c r="I201" s="35">
        <v>695</v>
      </c>
      <c r="J201" s="35">
        <v>50</v>
      </c>
      <c r="K201" s="36"/>
      <c r="L201" s="36"/>
      <c r="M201" s="36"/>
      <c r="N201" s="36"/>
      <c r="O201" s="36"/>
      <c r="P201" s="36"/>
      <c r="Q201" s="36"/>
      <c r="R201" s="36"/>
      <c r="S201" s="36"/>
      <c r="T201" s="36"/>
    </row>
    <row r="202" spans="1:20" ht="15.75">
      <c r="A202" s="13">
        <v>47635</v>
      </c>
      <c r="B202" s="44">
        <v>30</v>
      </c>
      <c r="C202" s="35">
        <v>194.20500000000001</v>
      </c>
      <c r="D202" s="35">
        <v>267.46600000000001</v>
      </c>
      <c r="E202" s="41">
        <v>812.32899999999995</v>
      </c>
      <c r="F202" s="35">
        <v>1274</v>
      </c>
      <c r="G202" s="35">
        <v>50</v>
      </c>
      <c r="H202" s="43">
        <v>600</v>
      </c>
      <c r="I202" s="35">
        <v>695</v>
      </c>
      <c r="J202" s="35">
        <v>50</v>
      </c>
      <c r="K202" s="36"/>
      <c r="L202" s="36"/>
      <c r="M202" s="36"/>
      <c r="N202" s="36"/>
      <c r="O202" s="36"/>
      <c r="P202" s="36"/>
      <c r="Q202" s="36"/>
      <c r="R202" s="36"/>
      <c r="S202" s="36"/>
      <c r="T202" s="36"/>
    </row>
    <row r="203" spans="1:20" ht="15.75">
      <c r="A203" s="13">
        <v>47665</v>
      </c>
      <c r="B203" s="44">
        <v>31</v>
      </c>
      <c r="C203" s="35">
        <v>194.20500000000001</v>
      </c>
      <c r="D203" s="35">
        <v>267.46600000000001</v>
      </c>
      <c r="E203" s="41">
        <v>812.32899999999995</v>
      </c>
      <c r="F203" s="35">
        <v>1274</v>
      </c>
      <c r="G203" s="35">
        <v>50</v>
      </c>
      <c r="H203" s="43">
        <v>600</v>
      </c>
      <c r="I203" s="35">
        <v>695</v>
      </c>
      <c r="J203" s="35">
        <v>0</v>
      </c>
      <c r="K203" s="36"/>
      <c r="L203" s="36"/>
      <c r="M203" s="36"/>
      <c r="N203" s="36"/>
      <c r="O203" s="36"/>
      <c r="P203" s="36"/>
      <c r="Q203" s="36"/>
      <c r="R203" s="36"/>
      <c r="S203" s="36"/>
      <c r="T203" s="36"/>
    </row>
    <row r="204" spans="1:20" ht="15.75">
      <c r="A204" s="13">
        <v>47696</v>
      </c>
      <c r="B204" s="44">
        <v>31</v>
      </c>
      <c r="C204" s="35">
        <v>194.20500000000001</v>
      </c>
      <c r="D204" s="35">
        <v>267.46600000000001</v>
      </c>
      <c r="E204" s="41">
        <v>812.32899999999995</v>
      </c>
      <c r="F204" s="35">
        <v>1274</v>
      </c>
      <c r="G204" s="35">
        <v>50</v>
      </c>
      <c r="H204" s="43">
        <v>600</v>
      </c>
      <c r="I204" s="35">
        <v>695</v>
      </c>
      <c r="J204" s="35">
        <v>0</v>
      </c>
      <c r="K204" s="36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ht="15.75">
      <c r="A205" s="13">
        <v>47727</v>
      </c>
      <c r="B205" s="44">
        <v>30</v>
      </c>
      <c r="C205" s="35">
        <v>194.20500000000001</v>
      </c>
      <c r="D205" s="35">
        <v>267.46600000000001</v>
      </c>
      <c r="E205" s="41">
        <v>812.32899999999995</v>
      </c>
      <c r="F205" s="35">
        <v>1274</v>
      </c>
      <c r="G205" s="35">
        <v>50</v>
      </c>
      <c r="H205" s="43">
        <v>600</v>
      </c>
      <c r="I205" s="35">
        <v>695</v>
      </c>
      <c r="J205" s="35">
        <v>0</v>
      </c>
      <c r="K205" s="36"/>
      <c r="L205" s="36"/>
      <c r="M205" s="36"/>
      <c r="N205" s="36"/>
      <c r="O205" s="36"/>
      <c r="P205" s="36"/>
      <c r="Q205" s="36"/>
      <c r="R205" s="36"/>
      <c r="S205" s="36"/>
      <c r="T205" s="36"/>
    </row>
    <row r="206" spans="1:20" ht="15.75">
      <c r="A206" s="13">
        <v>47757</v>
      </c>
      <c r="B206" s="44">
        <v>31</v>
      </c>
      <c r="C206" s="35">
        <v>131.881</v>
      </c>
      <c r="D206" s="35">
        <v>277.16699999999997</v>
      </c>
      <c r="E206" s="41">
        <v>829.952</v>
      </c>
      <c r="F206" s="35">
        <v>1239</v>
      </c>
      <c r="G206" s="35">
        <v>75</v>
      </c>
      <c r="H206" s="43">
        <v>600</v>
      </c>
      <c r="I206" s="35">
        <v>695</v>
      </c>
      <c r="J206" s="35">
        <v>0</v>
      </c>
      <c r="K206" s="36"/>
      <c r="L206" s="36"/>
      <c r="M206" s="36"/>
      <c r="N206" s="36"/>
      <c r="O206" s="36"/>
      <c r="P206" s="36"/>
      <c r="Q206" s="36"/>
      <c r="R206" s="36"/>
      <c r="S206" s="36"/>
      <c r="T206" s="36"/>
    </row>
    <row r="207" spans="1:20" ht="15.75">
      <c r="A207" s="13">
        <v>47788</v>
      </c>
      <c r="B207" s="44">
        <v>30</v>
      </c>
      <c r="C207" s="35">
        <v>122.58</v>
      </c>
      <c r="D207" s="35">
        <v>297.94099999999997</v>
      </c>
      <c r="E207" s="41">
        <v>729.47900000000004</v>
      </c>
      <c r="F207" s="35">
        <v>1150</v>
      </c>
      <c r="G207" s="35">
        <v>100</v>
      </c>
      <c r="H207" s="43">
        <v>600</v>
      </c>
      <c r="I207" s="35">
        <v>695</v>
      </c>
      <c r="J207" s="35">
        <v>50</v>
      </c>
      <c r="K207" s="36"/>
      <c r="L207" s="36"/>
      <c r="M207" s="36"/>
      <c r="N207" s="36"/>
      <c r="O207" s="36"/>
      <c r="P207" s="36"/>
      <c r="Q207" s="36"/>
      <c r="R207" s="36"/>
      <c r="S207" s="36"/>
      <c r="T207" s="36"/>
    </row>
    <row r="208" spans="1:20" ht="15.75">
      <c r="A208" s="13">
        <v>47818</v>
      </c>
      <c r="B208" s="44">
        <v>31</v>
      </c>
      <c r="C208" s="35">
        <v>122.58</v>
      </c>
      <c r="D208" s="35">
        <v>297.94099999999997</v>
      </c>
      <c r="E208" s="41">
        <v>729.47900000000004</v>
      </c>
      <c r="F208" s="35">
        <v>1150</v>
      </c>
      <c r="G208" s="35">
        <v>100</v>
      </c>
      <c r="H208" s="43">
        <v>600</v>
      </c>
      <c r="I208" s="35">
        <v>695</v>
      </c>
      <c r="J208" s="35">
        <v>50</v>
      </c>
      <c r="K208" s="36"/>
      <c r="L208" s="36"/>
      <c r="M208" s="36"/>
      <c r="N208" s="36"/>
      <c r="O208" s="36"/>
      <c r="P208" s="36"/>
      <c r="Q208" s="36"/>
      <c r="R208" s="36"/>
      <c r="S208" s="36"/>
      <c r="T208" s="36"/>
    </row>
    <row r="209" spans="1:20" ht="15.75">
      <c r="A209" s="13">
        <v>47849</v>
      </c>
      <c r="B209" s="44">
        <v>31</v>
      </c>
      <c r="C209" s="35">
        <v>122.58</v>
      </c>
      <c r="D209" s="35">
        <v>297.94099999999997</v>
      </c>
      <c r="E209" s="41">
        <v>729.47900000000004</v>
      </c>
      <c r="F209" s="35">
        <v>1150</v>
      </c>
      <c r="G209" s="35">
        <v>100</v>
      </c>
      <c r="H209" s="43">
        <v>600</v>
      </c>
      <c r="I209" s="35">
        <v>695</v>
      </c>
      <c r="J209" s="35">
        <v>50</v>
      </c>
      <c r="K209" s="36"/>
      <c r="L209" s="36"/>
      <c r="M209" s="36"/>
      <c r="N209" s="36"/>
      <c r="O209" s="36"/>
      <c r="P209" s="36"/>
      <c r="Q209" s="36"/>
      <c r="R209" s="36"/>
      <c r="S209" s="36"/>
      <c r="T209" s="36"/>
    </row>
    <row r="210" spans="1:20" ht="15.75">
      <c r="A210" s="13">
        <v>47880</v>
      </c>
      <c r="B210" s="44">
        <v>28</v>
      </c>
      <c r="C210" s="35">
        <v>122.58</v>
      </c>
      <c r="D210" s="35">
        <v>297.94099999999997</v>
      </c>
      <c r="E210" s="41">
        <v>729.47900000000004</v>
      </c>
      <c r="F210" s="35">
        <v>1150</v>
      </c>
      <c r="G210" s="35">
        <v>100</v>
      </c>
      <c r="H210" s="43">
        <v>600</v>
      </c>
      <c r="I210" s="35">
        <v>695</v>
      </c>
      <c r="J210" s="35">
        <v>50</v>
      </c>
      <c r="K210" s="36"/>
      <c r="L210" s="36"/>
      <c r="M210" s="36"/>
      <c r="N210" s="36"/>
      <c r="O210" s="36"/>
      <c r="P210" s="36"/>
      <c r="Q210" s="36"/>
      <c r="R210" s="36"/>
      <c r="S210" s="36"/>
      <c r="T210" s="36"/>
    </row>
    <row r="211" spans="1:20" ht="15.75">
      <c r="A211" s="13">
        <v>47908</v>
      </c>
      <c r="B211" s="44">
        <v>31</v>
      </c>
      <c r="C211" s="35">
        <v>122.58</v>
      </c>
      <c r="D211" s="35">
        <v>297.94099999999997</v>
      </c>
      <c r="E211" s="41">
        <v>729.47900000000004</v>
      </c>
      <c r="F211" s="35">
        <v>1150</v>
      </c>
      <c r="G211" s="35">
        <v>100</v>
      </c>
      <c r="H211" s="43">
        <v>600</v>
      </c>
      <c r="I211" s="35">
        <v>695</v>
      </c>
      <c r="J211" s="35">
        <v>50</v>
      </c>
      <c r="K211" s="36"/>
      <c r="L211" s="36"/>
      <c r="M211" s="36"/>
      <c r="N211" s="36"/>
      <c r="O211" s="36"/>
      <c r="P211" s="36"/>
      <c r="Q211" s="36"/>
      <c r="R211" s="36"/>
      <c r="S211" s="36"/>
      <c r="T211" s="36"/>
    </row>
    <row r="212" spans="1:20" ht="15.75">
      <c r="A212" s="13">
        <v>47939</v>
      </c>
      <c r="B212" s="44">
        <v>30</v>
      </c>
      <c r="C212" s="35">
        <v>141.29300000000001</v>
      </c>
      <c r="D212" s="35">
        <v>267.99299999999999</v>
      </c>
      <c r="E212" s="41">
        <v>829.71400000000006</v>
      </c>
      <c r="F212" s="35">
        <v>1239</v>
      </c>
      <c r="G212" s="35">
        <v>100</v>
      </c>
      <c r="H212" s="43">
        <v>600</v>
      </c>
      <c r="I212" s="35">
        <v>695</v>
      </c>
      <c r="J212" s="35">
        <v>50</v>
      </c>
      <c r="K212" s="36"/>
      <c r="L212" s="36"/>
      <c r="M212" s="36"/>
      <c r="N212" s="36"/>
      <c r="O212" s="36"/>
      <c r="P212" s="36"/>
      <c r="Q212" s="36"/>
      <c r="R212" s="36"/>
      <c r="S212" s="36"/>
      <c r="T212" s="36"/>
    </row>
    <row r="213" spans="1:20" ht="15.75">
      <c r="A213" s="13">
        <v>47969</v>
      </c>
      <c r="B213" s="44">
        <v>31</v>
      </c>
      <c r="C213" s="35">
        <v>194.20500000000001</v>
      </c>
      <c r="D213" s="35">
        <v>267.46600000000001</v>
      </c>
      <c r="E213" s="41">
        <v>812.32899999999995</v>
      </c>
      <c r="F213" s="35">
        <v>1274</v>
      </c>
      <c r="G213" s="35">
        <v>75</v>
      </c>
      <c r="H213" s="43">
        <v>600</v>
      </c>
      <c r="I213" s="35">
        <v>695</v>
      </c>
      <c r="J213" s="35">
        <v>50</v>
      </c>
      <c r="K213" s="36"/>
      <c r="L213" s="36"/>
      <c r="M213" s="36"/>
      <c r="N213" s="36"/>
      <c r="O213" s="36"/>
      <c r="P213" s="36"/>
      <c r="Q213" s="36"/>
      <c r="R213" s="36"/>
      <c r="S213" s="36"/>
      <c r="T213" s="36"/>
    </row>
    <row r="214" spans="1:20" ht="15.75">
      <c r="A214" s="13">
        <v>48000</v>
      </c>
      <c r="B214" s="44">
        <v>30</v>
      </c>
      <c r="C214" s="35">
        <v>194.20500000000001</v>
      </c>
      <c r="D214" s="35">
        <v>267.46600000000001</v>
      </c>
      <c r="E214" s="41">
        <v>812.32899999999995</v>
      </c>
      <c r="F214" s="35">
        <v>1274</v>
      </c>
      <c r="G214" s="35">
        <v>50</v>
      </c>
      <c r="H214" s="43">
        <v>600</v>
      </c>
      <c r="I214" s="35">
        <v>695</v>
      </c>
      <c r="J214" s="35">
        <v>50</v>
      </c>
      <c r="K214" s="36"/>
      <c r="L214" s="36"/>
      <c r="M214" s="36"/>
      <c r="N214" s="36"/>
      <c r="O214" s="36"/>
      <c r="P214" s="36"/>
      <c r="Q214" s="36"/>
      <c r="R214" s="36"/>
      <c r="S214" s="36"/>
      <c r="T214" s="36"/>
    </row>
    <row r="215" spans="1:20" ht="15.75">
      <c r="A215" s="13">
        <v>48030</v>
      </c>
      <c r="B215" s="44">
        <v>31</v>
      </c>
      <c r="C215" s="35">
        <v>194.20500000000001</v>
      </c>
      <c r="D215" s="35">
        <v>267.46600000000001</v>
      </c>
      <c r="E215" s="41">
        <v>812.32899999999995</v>
      </c>
      <c r="F215" s="35">
        <v>1274</v>
      </c>
      <c r="G215" s="35">
        <v>50</v>
      </c>
      <c r="H215" s="43">
        <v>600</v>
      </c>
      <c r="I215" s="35">
        <v>695</v>
      </c>
      <c r="J215" s="35">
        <v>0</v>
      </c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ht="15.75">
      <c r="A216" s="13">
        <v>48061</v>
      </c>
      <c r="B216" s="44">
        <v>31</v>
      </c>
      <c r="C216" s="35">
        <v>194.20500000000001</v>
      </c>
      <c r="D216" s="35">
        <v>267.46600000000001</v>
      </c>
      <c r="E216" s="41">
        <v>812.32899999999995</v>
      </c>
      <c r="F216" s="35">
        <v>1274</v>
      </c>
      <c r="G216" s="35">
        <v>50</v>
      </c>
      <c r="H216" s="43">
        <v>600</v>
      </c>
      <c r="I216" s="35">
        <v>695</v>
      </c>
      <c r="J216" s="35">
        <v>0</v>
      </c>
      <c r="K216" s="36"/>
      <c r="L216" s="36"/>
      <c r="M216" s="36"/>
      <c r="N216" s="36"/>
      <c r="O216" s="36"/>
      <c r="P216" s="36"/>
      <c r="Q216" s="36"/>
      <c r="R216" s="36"/>
      <c r="S216" s="36"/>
      <c r="T216" s="36"/>
    </row>
    <row r="217" spans="1:20" ht="15.75">
      <c r="A217" s="13">
        <v>48092</v>
      </c>
      <c r="B217" s="44">
        <v>30</v>
      </c>
      <c r="C217" s="35">
        <v>194.20500000000001</v>
      </c>
      <c r="D217" s="35">
        <v>267.46600000000001</v>
      </c>
      <c r="E217" s="41">
        <v>812.32899999999995</v>
      </c>
      <c r="F217" s="35">
        <v>1274</v>
      </c>
      <c r="G217" s="35">
        <v>50</v>
      </c>
      <c r="H217" s="43">
        <v>600</v>
      </c>
      <c r="I217" s="35">
        <v>695</v>
      </c>
      <c r="J217" s="35">
        <v>0</v>
      </c>
      <c r="K217" s="36"/>
      <c r="L217" s="36"/>
      <c r="M217" s="36"/>
      <c r="N217" s="36"/>
      <c r="O217" s="36"/>
      <c r="P217" s="36"/>
      <c r="Q217" s="36"/>
      <c r="R217" s="36"/>
      <c r="S217" s="36"/>
      <c r="T217" s="36"/>
    </row>
    <row r="218" spans="1:20" ht="15.75">
      <c r="A218" s="13">
        <v>48122</v>
      </c>
      <c r="B218" s="44">
        <v>31</v>
      </c>
      <c r="C218" s="35">
        <v>131.881</v>
      </c>
      <c r="D218" s="35">
        <v>277.16699999999997</v>
      </c>
      <c r="E218" s="41">
        <v>829.952</v>
      </c>
      <c r="F218" s="35">
        <v>1239</v>
      </c>
      <c r="G218" s="35">
        <v>75</v>
      </c>
      <c r="H218" s="43">
        <v>600</v>
      </c>
      <c r="I218" s="35">
        <v>695</v>
      </c>
      <c r="J218" s="35">
        <v>0</v>
      </c>
      <c r="K218" s="36"/>
      <c r="L218" s="36"/>
      <c r="M218" s="36"/>
      <c r="N218" s="36"/>
      <c r="O218" s="36"/>
      <c r="P218" s="36"/>
      <c r="Q218" s="36"/>
      <c r="R218" s="36"/>
      <c r="S218" s="36"/>
      <c r="T218" s="36"/>
    </row>
    <row r="219" spans="1:20" ht="15.75">
      <c r="A219" s="13">
        <v>48153</v>
      </c>
      <c r="B219" s="44">
        <v>30</v>
      </c>
      <c r="C219" s="35">
        <v>122.58</v>
      </c>
      <c r="D219" s="35">
        <v>297.94099999999997</v>
      </c>
      <c r="E219" s="41">
        <v>729.47900000000004</v>
      </c>
      <c r="F219" s="35">
        <v>1150</v>
      </c>
      <c r="G219" s="35">
        <v>100</v>
      </c>
      <c r="H219" s="43">
        <v>600</v>
      </c>
      <c r="I219" s="35">
        <v>695</v>
      </c>
      <c r="J219" s="35">
        <v>50</v>
      </c>
      <c r="K219" s="36"/>
      <c r="L219" s="36"/>
      <c r="M219" s="36"/>
      <c r="N219" s="36"/>
      <c r="O219" s="36"/>
      <c r="P219" s="36"/>
      <c r="Q219" s="36"/>
      <c r="R219" s="36"/>
      <c r="S219" s="36"/>
      <c r="T219" s="36"/>
    </row>
    <row r="220" spans="1:20" ht="15.75">
      <c r="A220" s="13">
        <v>48183</v>
      </c>
      <c r="B220" s="44">
        <v>31</v>
      </c>
      <c r="C220" s="35">
        <v>122.58</v>
      </c>
      <c r="D220" s="35">
        <v>297.94099999999997</v>
      </c>
      <c r="E220" s="41">
        <v>729.47900000000004</v>
      </c>
      <c r="F220" s="35">
        <v>1150</v>
      </c>
      <c r="G220" s="35">
        <v>100</v>
      </c>
      <c r="H220" s="43">
        <v>600</v>
      </c>
      <c r="I220" s="35">
        <v>695</v>
      </c>
      <c r="J220" s="35">
        <v>50</v>
      </c>
      <c r="K220" s="36"/>
      <c r="L220" s="36"/>
      <c r="M220" s="36"/>
      <c r="N220" s="36"/>
      <c r="O220" s="36"/>
      <c r="P220" s="36"/>
      <c r="Q220" s="36"/>
      <c r="R220" s="36"/>
      <c r="S220" s="36"/>
      <c r="T220" s="36"/>
    </row>
    <row r="221" spans="1:20" ht="15.75">
      <c r="A221" s="13">
        <v>48214</v>
      </c>
      <c r="B221" s="44">
        <v>31</v>
      </c>
      <c r="C221" s="35">
        <v>122.58</v>
      </c>
      <c r="D221" s="35">
        <v>297.94099999999997</v>
      </c>
      <c r="E221" s="41">
        <v>729.47900000000004</v>
      </c>
      <c r="F221" s="35">
        <v>1150</v>
      </c>
      <c r="G221" s="35">
        <v>100</v>
      </c>
      <c r="H221" s="43">
        <v>600</v>
      </c>
      <c r="I221" s="35">
        <v>695</v>
      </c>
      <c r="J221" s="35">
        <v>50</v>
      </c>
      <c r="K221" s="36"/>
      <c r="L221" s="36"/>
      <c r="M221" s="36"/>
      <c r="N221" s="36"/>
      <c r="O221" s="36"/>
      <c r="P221" s="36"/>
      <c r="Q221" s="36"/>
      <c r="R221" s="36"/>
      <c r="S221" s="36"/>
      <c r="T221" s="36"/>
    </row>
    <row r="222" spans="1:20" ht="15.75">
      <c r="A222" s="13">
        <v>48245</v>
      </c>
      <c r="B222" s="44">
        <v>29</v>
      </c>
      <c r="C222" s="35">
        <v>122.58</v>
      </c>
      <c r="D222" s="35">
        <v>297.94099999999997</v>
      </c>
      <c r="E222" s="41">
        <v>729.47900000000004</v>
      </c>
      <c r="F222" s="35">
        <v>1150</v>
      </c>
      <c r="G222" s="35">
        <v>100</v>
      </c>
      <c r="H222" s="43">
        <v>600</v>
      </c>
      <c r="I222" s="35">
        <v>695</v>
      </c>
      <c r="J222" s="35">
        <v>50</v>
      </c>
      <c r="K222" s="36"/>
      <c r="L222" s="36"/>
      <c r="M222" s="36"/>
      <c r="N222" s="36"/>
      <c r="O222" s="36"/>
      <c r="P222" s="36"/>
      <c r="Q222" s="36"/>
      <c r="R222" s="36"/>
      <c r="S222" s="36"/>
      <c r="T222" s="36"/>
    </row>
    <row r="223" spans="1:20" ht="15.75">
      <c r="A223" s="13">
        <v>48274</v>
      </c>
      <c r="B223" s="44">
        <v>31</v>
      </c>
      <c r="C223" s="35">
        <v>122.58</v>
      </c>
      <c r="D223" s="35">
        <v>297.94099999999997</v>
      </c>
      <c r="E223" s="41">
        <v>729.47900000000004</v>
      </c>
      <c r="F223" s="35">
        <v>1150</v>
      </c>
      <c r="G223" s="35">
        <v>100</v>
      </c>
      <c r="H223" s="43">
        <v>600</v>
      </c>
      <c r="I223" s="35">
        <v>695</v>
      </c>
      <c r="J223" s="35">
        <v>50</v>
      </c>
      <c r="K223" s="36"/>
      <c r="L223" s="36"/>
      <c r="M223" s="36"/>
      <c r="N223" s="36"/>
      <c r="O223" s="36"/>
      <c r="P223" s="36"/>
      <c r="Q223" s="36"/>
      <c r="R223" s="36"/>
      <c r="S223" s="36"/>
      <c r="T223" s="36"/>
    </row>
    <row r="224" spans="1:20" ht="15.75">
      <c r="A224" s="13">
        <v>48305</v>
      </c>
      <c r="B224" s="44">
        <v>30</v>
      </c>
      <c r="C224" s="35">
        <v>141.29300000000001</v>
      </c>
      <c r="D224" s="35">
        <v>267.99299999999999</v>
      </c>
      <c r="E224" s="41">
        <v>829.71400000000006</v>
      </c>
      <c r="F224" s="35">
        <v>1239</v>
      </c>
      <c r="G224" s="35">
        <v>100</v>
      </c>
      <c r="H224" s="43">
        <v>600</v>
      </c>
      <c r="I224" s="35">
        <v>695</v>
      </c>
      <c r="J224" s="35">
        <v>50</v>
      </c>
      <c r="K224" s="36"/>
      <c r="L224" s="36"/>
      <c r="M224" s="36"/>
      <c r="N224" s="36"/>
      <c r="O224" s="36"/>
      <c r="P224" s="36"/>
      <c r="Q224" s="36"/>
      <c r="R224" s="36"/>
      <c r="S224" s="36"/>
      <c r="T224" s="36"/>
    </row>
    <row r="225" spans="1:20" ht="15.75">
      <c r="A225" s="13">
        <v>48335</v>
      </c>
      <c r="B225" s="44">
        <v>31</v>
      </c>
      <c r="C225" s="35">
        <v>194.20500000000001</v>
      </c>
      <c r="D225" s="35">
        <v>267.46600000000001</v>
      </c>
      <c r="E225" s="41">
        <v>812.32899999999995</v>
      </c>
      <c r="F225" s="35">
        <v>1274</v>
      </c>
      <c r="G225" s="35">
        <v>75</v>
      </c>
      <c r="H225" s="43">
        <v>600</v>
      </c>
      <c r="I225" s="35">
        <v>695</v>
      </c>
      <c r="J225" s="35">
        <v>50</v>
      </c>
      <c r="K225" s="36"/>
      <c r="L225" s="36"/>
      <c r="M225" s="36"/>
      <c r="N225" s="36"/>
      <c r="O225" s="36"/>
      <c r="P225" s="36"/>
      <c r="Q225" s="36"/>
      <c r="R225" s="36"/>
      <c r="S225" s="36"/>
      <c r="T225" s="36"/>
    </row>
    <row r="226" spans="1:20" ht="15.75">
      <c r="A226" s="13">
        <v>48366</v>
      </c>
      <c r="B226" s="44">
        <v>30</v>
      </c>
      <c r="C226" s="35">
        <v>194.20500000000001</v>
      </c>
      <c r="D226" s="35">
        <v>267.46600000000001</v>
      </c>
      <c r="E226" s="41">
        <v>812.32899999999995</v>
      </c>
      <c r="F226" s="35">
        <v>1274</v>
      </c>
      <c r="G226" s="35">
        <v>50</v>
      </c>
      <c r="H226" s="43">
        <v>600</v>
      </c>
      <c r="I226" s="35">
        <v>695</v>
      </c>
      <c r="J226" s="35">
        <v>50</v>
      </c>
      <c r="K226" s="36"/>
      <c r="L226" s="36"/>
      <c r="M226" s="36"/>
      <c r="N226" s="36"/>
      <c r="O226" s="36"/>
      <c r="P226" s="36"/>
      <c r="Q226" s="36"/>
      <c r="R226" s="36"/>
      <c r="S226" s="36"/>
      <c r="T226" s="36"/>
    </row>
    <row r="227" spans="1:20" ht="15.75">
      <c r="A227" s="13">
        <v>48396</v>
      </c>
      <c r="B227" s="44">
        <v>31</v>
      </c>
      <c r="C227" s="35">
        <v>194.20500000000001</v>
      </c>
      <c r="D227" s="35">
        <v>267.46600000000001</v>
      </c>
      <c r="E227" s="41">
        <v>812.32899999999995</v>
      </c>
      <c r="F227" s="35">
        <v>1274</v>
      </c>
      <c r="G227" s="35">
        <v>50</v>
      </c>
      <c r="H227" s="43">
        <v>600</v>
      </c>
      <c r="I227" s="35">
        <v>695</v>
      </c>
      <c r="J227" s="35">
        <v>0</v>
      </c>
      <c r="K227" s="36"/>
      <c r="L227" s="36"/>
      <c r="M227" s="36"/>
      <c r="N227" s="36"/>
      <c r="O227" s="36"/>
      <c r="P227" s="36"/>
      <c r="Q227" s="36"/>
      <c r="R227" s="36"/>
      <c r="S227" s="36"/>
      <c r="T227" s="36"/>
    </row>
    <row r="228" spans="1:20" ht="15.75">
      <c r="A228" s="13">
        <v>48427</v>
      </c>
      <c r="B228" s="44">
        <v>31</v>
      </c>
      <c r="C228" s="35">
        <v>194.20500000000001</v>
      </c>
      <c r="D228" s="35">
        <v>267.46600000000001</v>
      </c>
      <c r="E228" s="41">
        <v>812.32899999999995</v>
      </c>
      <c r="F228" s="35">
        <v>1274</v>
      </c>
      <c r="G228" s="35">
        <v>50</v>
      </c>
      <c r="H228" s="43">
        <v>600</v>
      </c>
      <c r="I228" s="35">
        <v>695</v>
      </c>
      <c r="J228" s="35">
        <v>0</v>
      </c>
      <c r="K228" s="36"/>
      <c r="L228" s="36"/>
      <c r="M228" s="36"/>
      <c r="N228" s="36"/>
      <c r="O228" s="36"/>
      <c r="P228" s="36"/>
      <c r="Q228" s="36"/>
      <c r="R228" s="36"/>
      <c r="S228" s="36"/>
      <c r="T228" s="36"/>
    </row>
    <row r="229" spans="1:20" ht="15.75">
      <c r="A229" s="13">
        <v>48458</v>
      </c>
      <c r="B229" s="44">
        <v>30</v>
      </c>
      <c r="C229" s="35">
        <v>194.20500000000001</v>
      </c>
      <c r="D229" s="35">
        <v>267.46600000000001</v>
      </c>
      <c r="E229" s="41">
        <v>812.32899999999995</v>
      </c>
      <c r="F229" s="35">
        <v>1274</v>
      </c>
      <c r="G229" s="35">
        <v>50</v>
      </c>
      <c r="H229" s="43">
        <v>600</v>
      </c>
      <c r="I229" s="35">
        <v>695</v>
      </c>
      <c r="J229" s="35">
        <v>0</v>
      </c>
      <c r="K229" s="36"/>
      <c r="L229" s="36"/>
      <c r="M229" s="36"/>
      <c r="N229" s="36"/>
      <c r="O229" s="36"/>
      <c r="P229" s="36"/>
      <c r="Q229" s="36"/>
      <c r="R229" s="36"/>
      <c r="S229" s="36"/>
      <c r="T229" s="36"/>
    </row>
    <row r="230" spans="1:20" ht="15.75">
      <c r="A230" s="13">
        <v>48488</v>
      </c>
      <c r="B230" s="44">
        <v>31</v>
      </c>
      <c r="C230" s="35">
        <v>131.881</v>
      </c>
      <c r="D230" s="35">
        <v>277.16699999999997</v>
      </c>
      <c r="E230" s="41">
        <v>829.952</v>
      </c>
      <c r="F230" s="35">
        <v>1239</v>
      </c>
      <c r="G230" s="35">
        <v>75</v>
      </c>
      <c r="H230" s="43">
        <v>600</v>
      </c>
      <c r="I230" s="35">
        <v>695</v>
      </c>
      <c r="J230" s="35">
        <v>0</v>
      </c>
      <c r="K230" s="36"/>
      <c r="L230" s="36"/>
      <c r="M230" s="36"/>
      <c r="N230" s="36"/>
      <c r="O230" s="36"/>
      <c r="P230" s="36"/>
      <c r="Q230" s="36"/>
      <c r="R230" s="36"/>
      <c r="S230" s="36"/>
      <c r="T230" s="36"/>
    </row>
    <row r="231" spans="1:20" ht="15.75">
      <c r="A231" s="13">
        <v>48519</v>
      </c>
      <c r="B231" s="44">
        <v>30</v>
      </c>
      <c r="C231" s="35">
        <v>122.58</v>
      </c>
      <c r="D231" s="35">
        <v>297.94099999999997</v>
      </c>
      <c r="E231" s="41">
        <v>729.47900000000004</v>
      </c>
      <c r="F231" s="35">
        <v>1150</v>
      </c>
      <c r="G231" s="35">
        <v>100</v>
      </c>
      <c r="H231" s="43">
        <v>600</v>
      </c>
      <c r="I231" s="35">
        <v>695</v>
      </c>
      <c r="J231" s="35">
        <v>50</v>
      </c>
      <c r="K231" s="36"/>
      <c r="L231" s="36"/>
      <c r="M231" s="36"/>
      <c r="N231" s="36"/>
      <c r="O231" s="36"/>
      <c r="P231" s="36"/>
      <c r="Q231" s="36"/>
      <c r="R231" s="36"/>
      <c r="S231" s="36"/>
      <c r="T231" s="36"/>
    </row>
    <row r="232" spans="1:20" ht="15.75">
      <c r="A232" s="13">
        <v>48549</v>
      </c>
      <c r="B232" s="44">
        <v>31</v>
      </c>
      <c r="C232" s="35">
        <v>122.58</v>
      </c>
      <c r="D232" s="35">
        <v>297.94099999999997</v>
      </c>
      <c r="E232" s="41">
        <v>729.47900000000004</v>
      </c>
      <c r="F232" s="35">
        <v>1150</v>
      </c>
      <c r="G232" s="35">
        <v>100</v>
      </c>
      <c r="H232" s="43">
        <v>600</v>
      </c>
      <c r="I232" s="35">
        <v>695</v>
      </c>
      <c r="J232" s="35">
        <v>50</v>
      </c>
      <c r="K232" s="36"/>
      <c r="L232" s="36"/>
      <c r="M232" s="36"/>
      <c r="N232" s="36"/>
      <c r="O232" s="36"/>
      <c r="P232" s="36"/>
      <c r="Q232" s="36"/>
      <c r="R232" s="36"/>
      <c r="S232" s="36"/>
      <c r="T232" s="36"/>
    </row>
    <row r="233" spans="1:20" ht="15.75">
      <c r="A233" s="13">
        <v>48580</v>
      </c>
      <c r="B233" s="44">
        <v>31</v>
      </c>
      <c r="C233" s="35">
        <v>122.58</v>
      </c>
      <c r="D233" s="35">
        <v>297.94099999999997</v>
      </c>
      <c r="E233" s="41">
        <v>729.47900000000004</v>
      </c>
      <c r="F233" s="35">
        <v>1150</v>
      </c>
      <c r="G233" s="35">
        <v>100</v>
      </c>
      <c r="H233" s="43">
        <v>600</v>
      </c>
      <c r="I233" s="35">
        <v>695</v>
      </c>
      <c r="J233" s="35">
        <v>50</v>
      </c>
      <c r="K233" s="36"/>
      <c r="L233" s="36"/>
      <c r="M233" s="36"/>
      <c r="N233" s="36"/>
      <c r="O233" s="36"/>
      <c r="P233" s="36"/>
      <c r="Q233" s="36"/>
      <c r="R233" s="36"/>
      <c r="S233" s="36"/>
      <c r="T233" s="36"/>
    </row>
    <row r="234" spans="1:20" ht="15.75">
      <c r="A234" s="13">
        <v>48611</v>
      </c>
      <c r="B234" s="44">
        <v>28</v>
      </c>
      <c r="C234" s="35">
        <v>122.58</v>
      </c>
      <c r="D234" s="35">
        <v>297.94099999999997</v>
      </c>
      <c r="E234" s="41">
        <v>729.47900000000004</v>
      </c>
      <c r="F234" s="35">
        <v>1150</v>
      </c>
      <c r="G234" s="35">
        <v>100</v>
      </c>
      <c r="H234" s="43">
        <v>600</v>
      </c>
      <c r="I234" s="35">
        <v>695</v>
      </c>
      <c r="J234" s="35">
        <v>50</v>
      </c>
      <c r="K234" s="36"/>
      <c r="L234" s="36"/>
      <c r="M234" s="36"/>
      <c r="N234" s="36"/>
      <c r="O234" s="36"/>
      <c r="P234" s="36"/>
      <c r="Q234" s="36"/>
      <c r="R234" s="36"/>
      <c r="S234" s="36"/>
      <c r="T234" s="36"/>
    </row>
    <row r="235" spans="1:20" ht="15.75">
      <c r="A235" s="13">
        <v>48639</v>
      </c>
      <c r="B235" s="44">
        <v>31</v>
      </c>
      <c r="C235" s="35">
        <v>122.58</v>
      </c>
      <c r="D235" s="35">
        <v>297.94099999999997</v>
      </c>
      <c r="E235" s="41">
        <v>729.47900000000004</v>
      </c>
      <c r="F235" s="35">
        <v>1150</v>
      </c>
      <c r="G235" s="35">
        <v>100</v>
      </c>
      <c r="H235" s="43">
        <v>600</v>
      </c>
      <c r="I235" s="35">
        <v>695</v>
      </c>
      <c r="J235" s="35">
        <v>50</v>
      </c>
      <c r="K235" s="36"/>
      <c r="L235" s="36"/>
      <c r="M235" s="36"/>
      <c r="N235" s="36"/>
      <c r="O235" s="36"/>
      <c r="P235" s="36"/>
      <c r="Q235" s="36"/>
      <c r="R235" s="36"/>
      <c r="S235" s="36"/>
      <c r="T235" s="36"/>
    </row>
    <row r="236" spans="1:20" ht="15.75">
      <c r="A236" s="13">
        <v>48670</v>
      </c>
      <c r="B236" s="44">
        <v>30</v>
      </c>
      <c r="C236" s="35">
        <v>141.29300000000001</v>
      </c>
      <c r="D236" s="35">
        <v>267.99299999999999</v>
      </c>
      <c r="E236" s="41">
        <v>829.71400000000006</v>
      </c>
      <c r="F236" s="35">
        <v>1239</v>
      </c>
      <c r="G236" s="35">
        <v>100</v>
      </c>
      <c r="H236" s="43">
        <v>600</v>
      </c>
      <c r="I236" s="35">
        <v>695</v>
      </c>
      <c r="J236" s="35">
        <v>50</v>
      </c>
      <c r="K236" s="36"/>
      <c r="L236" s="36"/>
      <c r="M236" s="36"/>
      <c r="N236" s="36"/>
      <c r="O236" s="36"/>
      <c r="P236" s="36"/>
      <c r="Q236" s="36"/>
      <c r="R236" s="36"/>
      <c r="S236" s="36"/>
      <c r="T236" s="36"/>
    </row>
    <row r="237" spans="1:20" ht="15.75">
      <c r="A237" s="13">
        <v>48700</v>
      </c>
      <c r="B237" s="44">
        <v>31</v>
      </c>
      <c r="C237" s="35">
        <v>194.20500000000001</v>
      </c>
      <c r="D237" s="35">
        <v>267.46600000000001</v>
      </c>
      <c r="E237" s="41">
        <v>812.32899999999995</v>
      </c>
      <c r="F237" s="35">
        <v>1274</v>
      </c>
      <c r="G237" s="35">
        <v>75</v>
      </c>
      <c r="H237" s="43">
        <v>600</v>
      </c>
      <c r="I237" s="35">
        <v>695</v>
      </c>
      <c r="J237" s="35">
        <v>50</v>
      </c>
      <c r="K237" s="36"/>
      <c r="L237" s="36"/>
      <c r="M237" s="36"/>
      <c r="N237" s="36"/>
      <c r="O237" s="36"/>
      <c r="P237" s="36"/>
      <c r="Q237" s="36"/>
      <c r="R237" s="36"/>
      <c r="S237" s="36"/>
      <c r="T237" s="36"/>
    </row>
    <row r="238" spans="1:20" ht="15.75">
      <c r="A238" s="13">
        <v>48731</v>
      </c>
      <c r="B238" s="44">
        <v>30</v>
      </c>
      <c r="C238" s="35">
        <v>194.20500000000001</v>
      </c>
      <c r="D238" s="35">
        <v>267.46600000000001</v>
      </c>
      <c r="E238" s="41">
        <v>812.32899999999995</v>
      </c>
      <c r="F238" s="35">
        <v>1274</v>
      </c>
      <c r="G238" s="35">
        <v>50</v>
      </c>
      <c r="H238" s="43">
        <v>600</v>
      </c>
      <c r="I238" s="35">
        <v>695</v>
      </c>
      <c r="J238" s="35">
        <v>50</v>
      </c>
      <c r="K238" s="36"/>
      <c r="L238" s="36"/>
      <c r="M238" s="36"/>
      <c r="N238" s="36"/>
      <c r="O238" s="36"/>
      <c r="P238" s="36"/>
      <c r="Q238" s="36"/>
      <c r="R238" s="36"/>
      <c r="S238" s="36"/>
      <c r="T238" s="36"/>
    </row>
    <row r="239" spans="1:20" ht="15.75">
      <c r="A239" s="13">
        <v>48761</v>
      </c>
      <c r="B239" s="44">
        <v>31</v>
      </c>
      <c r="C239" s="35">
        <v>194.20500000000001</v>
      </c>
      <c r="D239" s="35">
        <v>267.46600000000001</v>
      </c>
      <c r="E239" s="41">
        <v>812.32899999999995</v>
      </c>
      <c r="F239" s="35">
        <v>1274</v>
      </c>
      <c r="G239" s="35">
        <v>50</v>
      </c>
      <c r="H239" s="43">
        <v>600</v>
      </c>
      <c r="I239" s="35">
        <v>695</v>
      </c>
      <c r="J239" s="35">
        <v>0</v>
      </c>
      <c r="K239" s="36"/>
      <c r="L239" s="36"/>
      <c r="M239" s="36"/>
      <c r="N239" s="36"/>
      <c r="O239" s="36"/>
      <c r="P239" s="36"/>
      <c r="Q239" s="36"/>
      <c r="R239" s="36"/>
      <c r="S239" s="36"/>
      <c r="T239" s="36"/>
    </row>
    <row r="240" spans="1:20" ht="15.75">
      <c r="A240" s="13">
        <v>48792</v>
      </c>
      <c r="B240" s="44">
        <v>31</v>
      </c>
      <c r="C240" s="35">
        <v>194.20500000000001</v>
      </c>
      <c r="D240" s="35">
        <v>267.46600000000001</v>
      </c>
      <c r="E240" s="41">
        <v>812.32899999999995</v>
      </c>
      <c r="F240" s="35">
        <v>1274</v>
      </c>
      <c r="G240" s="35">
        <v>50</v>
      </c>
      <c r="H240" s="43">
        <v>600</v>
      </c>
      <c r="I240" s="35">
        <v>695</v>
      </c>
      <c r="J240" s="35">
        <v>0</v>
      </c>
      <c r="K240" s="36"/>
      <c r="L240" s="36"/>
      <c r="M240" s="36"/>
      <c r="N240" s="36"/>
      <c r="O240" s="36"/>
      <c r="P240" s="36"/>
      <c r="Q240" s="36"/>
      <c r="R240" s="36"/>
      <c r="S240" s="36"/>
      <c r="T240" s="36"/>
    </row>
    <row r="241" spans="1:20" ht="15.75">
      <c r="A241" s="13">
        <v>48823</v>
      </c>
      <c r="B241" s="44">
        <v>30</v>
      </c>
      <c r="C241" s="35">
        <v>194.20500000000001</v>
      </c>
      <c r="D241" s="35">
        <v>267.46600000000001</v>
      </c>
      <c r="E241" s="41">
        <v>812.32899999999995</v>
      </c>
      <c r="F241" s="35">
        <v>1274</v>
      </c>
      <c r="G241" s="35">
        <v>50</v>
      </c>
      <c r="H241" s="43">
        <v>600</v>
      </c>
      <c r="I241" s="35">
        <v>695</v>
      </c>
      <c r="J241" s="35">
        <v>0</v>
      </c>
      <c r="K241" s="36"/>
      <c r="L241" s="36"/>
      <c r="M241" s="36"/>
      <c r="N241" s="36"/>
      <c r="O241" s="36"/>
      <c r="P241" s="36"/>
      <c r="Q241" s="36"/>
      <c r="R241" s="36"/>
      <c r="S241" s="36"/>
      <c r="T241" s="36"/>
    </row>
    <row r="242" spans="1:20" ht="15.75">
      <c r="A242" s="13">
        <v>48853</v>
      </c>
      <c r="B242" s="44">
        <v>31</v>
      </c>
      <c r="C242" s="35">
        <v>131.881</v>
      </c>
      <c r="D242" s="35">
        <v>277.16699999999997</v>
      </c>
      <c r="E242" s="41">
        <v>829.952</v>
      </c>
      <c r="F242" s="35">
        <v>1239</v>
      </c>
      <c r="G242" s="35">
        <v>75</v>
      </c>
      <c r="H242" s="43">
        <v>600</v>
      </c>
      <c r="I242" s="35">
        <v>695</v>
      </c>
      <c r="J242" s="35">
        <v>0</v>
      </c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ht="15.75">
      <c r="A243" s="13">
        <v>48884</v>
      </c>
      <c r="B243" s="44">
        <v>30</v>
      </c>
      <c r="C243" s="35">
        <v>122.58</v>
      </c>
      <c r="D243" s="35">
        <v>297.94099999999997</v>
      </c>
      <c r="E243" s="41">
        <v>729.47900000000004</v>
      </c>
      <c r="F243" s="35">
        <v>1150</v>
      </c>
      <c r="G243" s="35">
        <v>100</v>
      </c>
      <c r="H243" s="43">
        <v>600</v>
      </c>
      <c r="I243" s="35">
        <v>695</v>
      </c>
      <c r="J243" s="35">
        <v>50</v>
      </c>
      <c r="K243" s="36"/>
      <c r="L243" s="36"/>
      <c r="M243" s="36"/>
      <c r="N243" s="36"/>
      <c r="O243" s="36"/>
      <c r="P243" s="36"/>
      <c r="Q243" s="36"/>
      <c r="R243" s="36"/>
      <c r="S243" s="36"/>
      <c r="T243" s="36"/>
    </row>
    <row r="244" spans="1:20" ht="15.75">
      <c r="A244" s="13">
        <v>48914</v>
      </c>
      <c r="B244" s="44">
        <v>31</v>
      </c>
      <c r="C244" s="35">
        <v>122.58</v>
      </c>
      <c r="D244" s="35">
        <v>297.94099999999997</v>
      </c>
      <c r="E244" s="41">
        <v>729.47900000000004</v>
      </c>
      <c r="F244" s="35">
        <v>1150</v>
      </c>
      <c r="G244" s="35">
        <v>100</v>
      </c>
      <c r="H244" s="43">
        <v>600</v>
      </c>
      <c r="I244" s="35">
        <v>695</v>
      </c>
      <c r="J244" s="35">
        <v>50</v>
      </c>
      <c r="K244" s="36"/>
      <c r="L244" s="36"/>
      <c r="M244" s="36"/>
      <c r="N244" s="36"/>
      <c r="O244" s="36"/>
      <c r="P244" s="36"/>
      <c r="Q244" s="36"/>
      <c r="R244" s="36"/>
      <c r="S244" s="36"/>
      <c r="T244" s="36"/>
    </row>
    <row r="245" spans="1:20" ht="15.75">
      <c r="A245" s="13">
        <v>48945</v>
      </c>
      <c r="B245" s="44">
        <v>31</v>
      </c>
      <c r="C245" s="35">
        <v>122.58</v>
      </c>
      <c r="D245" s="35">
        <v>297.94099999999997</v>
      </c>
      <c r="E245" s="41">
        <v>729.47900000000004</v>
      </c>
      <c r="F245" s="35">
        <v>1150</v>
      </c>
      <c r="G245" s="35">
        <v>100</v>
      </c>
      <c r="H245" s="43">
        <v>600</v>
      </c>
      <c r="I245" s="35">
        <v>695</v>
      </c>
      <c r="J245" s="35">
        <v>50</v>
      </c>
      <c r="K245" s="36"/>
      <c r="L245" s="36"/>
      <c r="M245" s="36"/>
      <c r="N245" s="36"/>
      <c r="O245" s="36"/>
      <c r="P245" s="36"/>
      <c r="Q245" s="36"/>
      <c r="R245" s="36"/>
      <c r="S245" s="36"/>
      <c r="T245" s="36"/>
    </row>
    <row r="246" spans="1:20" ht="15.75">
      <c r="A246" s="13">
        <v>48976</v>
      </c>
      <c r="B246" s="44">
        <v>28</v>
      </c>
      <c r="C246" s="35">
        <v>122.58</v>
      </c>
      <c r="D246" s="35">
        <v>297.94099999999997</v>
      </c>
      <c r="E246" s="41">
        <v>729.47900000000004</v>
      </c>
      <c r="F246" s="35">
        <v>1150</v>
      </c>
      <c r="G246" s="35">
        <v>100</v>
      </c>
      <c r="H246" s="43">
        <v>600</v>
      </c>
      <c r="I246" s="35">
        <v>695</v>
      </c>
      <c r="J246" s="35">
        <v>50</v>
      </c>
      <c r="K246" s="36"/>
      <c r="L246" s="36"/>
      <c r="M246" s="36"/>
      <c r="N246" s="36"/>
      <c r="O246" s="36"/>
      <c r="P246" s="36"/>
      <c r="Q246" s="36"/>
      <c r="R246" s="36"/>
      <c r="S246" s="36"/>
      <c r="T246" s="36"/>
    </row>
    <row r="247" spans="1:20" ht="15.75">
      <c r="A247" s="13">
        <v>49004</v>
      </c>
      <c r="B247" s="44">
        <v>31</v>
      </c>
      <c r="C247" s="35">
        <v>122.58</v>
      </c>
      <c r="D247" s="35">
        <v>297.94099999999997</v>
      </c>
      <c r="E247" s="41">
        <v>729.47900000000004</v>
      </c>
      <c r="F247" s="35">
        <v>1150</v>
      </c>
      <c r="G247" s="35">
        <v>100</v>
      </c>
      <c r="H247" s="43">
        <v>600</v>
      </c>
      <c r="I247" s="35">
        <v>695</v>
      </c>
      <c r="J247" s="35">
        <v>50</v>
      </c>
      <c r="K247" s="36"/>
      <c r="L247" s="36"/>
      <c r="M247" s="36"/>
      <c r="N247" s="36"/>
      <c r="O247" s="36"/>
      <c r="P247" s="36"/>
      <c r="Q247" s="36"/>
      <c r="R247" s="36"/>
      <c r="S247" s="36"/>
      <c r="T247" s="36"/>
    </row>
    <row r="248" spans="1:20" ht="15.75">
      <c r="A248" s="13">
        <v>49035</v>
      </c>
      <c r="B248" s="44">
        <v>30</v>
      </c>
      <c r="C248" s="35">
        <v>141.29300000000001</v>
      </c>
      <c r="D248" s="35">
        <v>267.99299999999999</v>
      </c>
      <c r="E248" s="41">
        <v>829.71400000000006</v>
      </c>
      <c r="F248" s="35">
        <v>1239</v>
      </c>
      <c r="G248" s="35">
        <v>100</v>
      </c>
      <c r="H248" s="43">
        <v>600</v>
      </c>
      <c r="I248" s="35">
        <v>695</v>
      </c>
      <c r="J248" s="35">
        <v>50</v>
      </c>
      <c r="K248" s="36"/>
      <c r="L248" s="36"/>
      <c r="M248" s="36"/>
      <c r="N248" s="36"/>
      <c r="O248" s="36"/>
      <c r="P248" s="36"/>
      <c r="Q248" s="36"/>
      <c r="R248" s="36"/>
      <c r="S248" s="36"/>
      <c r="T248" s="36"/>
    </row>
    <row r="249" spans="1:20" ht="15.75">
      <c r="A249" s="13">
        <v>49065</v>
      </c>
      <c r="B249" s="44">
        <v>31</v>
      </c>
      <c r="C249" s="35">
        <v>194.20500000000001</v>
      </c>
      <c r="D249" s="35">
        <v>267.46600000000001</v>
      </c>
      <c r="E249" s="41">
        <v>812.32899999999995</v>
      </c>
      <c r="F249" s="35">
        <v>1274</v>
      </c>
      <c r="G249" s="35">
        <v>75</v>
      </c>
      <c r="H249" s="43">
        <v>600</v>
      </c>
      <c r="I249" s="35">
        <v>695</v>
      </c>
      <c r="J249" s="35">
        <v>50</v>
      </c>
      <c r="K249" s="36"/>
      <c r="L249" s="36"/>
      <c r="M249" s="36"/>
      <c r="N249" s="36"/>
      <c r="O249" s="36"/>
      <c r="P249" s="36"/>
      <c r="Q249" s="36"/>
      <c r="R249" s="36"/>
      <c r="S249" s="36"/>
      <c r="T249" s="36"/>
    </row>
    <row r="250" spans="1:20" ht="15.75">
      <c r="A250" s="13">
        <v>49096</v>
      </c>
      <c r="B250" s="44">
        <v>30</v>
      </c>
      <c r="C250" s="35">
        <v>194.20500000000001</v>
      </c>
      <c r="D250" s="35">
        <v>267.46600000000001</v>
      </c>
      <c r="E250" s="41">
        <v>812.32899999999995</v>
      </c>
      <c r="F250" s="35">
        <v>1274</v>
      </c>
      <c r="G250" s="35">
        <v>50</v>
      </c>
      <c r="H250" s="43">
        <v>600</v>
      </c>
      <c r="I250" s="35">
        <v>695</v>
      </c>
      <c r="J250" s="35">
        <v>50</v>
      </c>
      <c r="K250" s="36"/>
      <c r="L250" s="36"/>
      <c r="M250" s="36"/>
      <c r="N250" s="36"/>
      <c r="O250" s="36"/>
      <c r="P250" s="36"/>
      <c r="Q250" s="36"/>
      <c r="R250" s="36"/>
      <c r="S250" s="36"/>
      <c r="T250" s="36"/>
    </row>
    <row r="251" spans="1:20" ht="15.75">
      <c r="A251" s="13">
        <v>49126</v>
      </c>
      <c r="B251" s="44">
        <v>31</v>
      </c>
      <c r="C251" s="35">
        <v>194.20500000000001</v>
      </c>
      <c r="D251" s="35">
        <v>267.46600000000001</v>
      </c>
      <c r="E251" s="41">
        <v>812.32899999999995</v>
      </c>
      <c r="F251" s="35">
        <v>1274</v>
      </c>
      <c r="G251" s="35">
        <v>50</v>
      </c>
      <c r="H251" s="43">
        <v>600</v>
      </c>
      <c r="I251" s="35">
        <v>695</v>
      </c>
      <c r="J251" s="35">
        <v>0</v>
      </c>
      <c r="K251" s="36"/>
      <c r="L251" s="36"/>
      <c r="M251" s="36"/>
      <c r="N251" s="36"/>
      <c r="O251" s="36"/>
      <c r="P251" s="36"/>
      <c r="Q251" s="36"/>
      <c r="R251" s="36"/>
      <c r="S251" s="36"/>
      <c r="T251" s="36"/>
    </row>
    <row r="252" spans="1:20" ht="15.75">
      <c r="A252" s="13">
        <v>49157</v>
      </c>
      <c r="B252" s="44">
        <v>31</v>
      </c>
      <c r="C252" s="35">
        <v>194.20500000000001</v>
      </c>
      <c r="D252" s="35">
        <v>267.46600000000001</v>
      </c>
      <c r="E252" s="41">
        <v>812.32899999999995</v>
      </c>
      <c r="F252" s="35">
        <v>1274</v>
      </c>
      <c r="G252" s="35">
        <v>50</v>
      </c>
      <c r="H252" s="43">
        <v>600</v>
      </c>
      <c r="I252" s="35">
        <v>695</v>
      </c>
      <c r="J252" s="35">
        <v>0</v>
      </c>
      <c r="K252" s="36"/>
      <c r="L252" s="36"/>
      <c r="M252" s="36"/>
      <c r="N252" s="36"/>
      <c r="O252" s="36"/>
      <c r="P252" s="36"/>
      <c r="Q252" s="36"/>
      <c r="R252" s="36"/>
      <c r="S252" s="36"/>
      <c r="T252" s="36"/>
    </row>
    <row r="253" spans="1:20" ht="15.75">
      <c r="A253" s="13">
        <v>49188</v>
      </c>
      <c r="B253" s="44">
        <v>30</v>
      </c>
      <c r="C253" s="35">
        <v>194.20500000000001</v>
      </c>
      <c r="D253" s="35">
        <v>267.46600000000001</v>
      </c>
      <c r="E253" s="41">
        <v>812.32899999999995</v>
      </c>
      <c r="F253" s="35">
        <v>1274</v>
      </c>
      <c r="G253" s="35">
        <v>50</v>
      </c>
      <c r="H253" s="43">
        <v>600</v>
      </c>
      <c r="I253" s="35">
        <v>695</v>
      </c>
      <c r="J253" s="35">
        <v>0</v>
      </c>
      <c r="K253" s="36"/>
      <c r="L253" s="36"/>
      <c r="M253" s="36"/>
      <c r="N253" s="36"/>
      <c r="O253" s="36"/>
      <c r="P253" s="36"/>
      <c r="Q253" s="36"/>
      <c r="R253" s="36"/>
      <c r="S253" s="36"/>
      <c r="T253" s="36"/>
    </row>
    <row r="254" spans="1:20" ht="15.75">
      <c r="A254" s="13">
        <v>49218</v>
      </c>
      <c r="B254" s="44">
        <v>31</v>
      </c>
      <c r="C254" s="35">
        <v>131.881</v>
      </c>
      <c r="D254" s="35">
        <v>277.16699999999997</v>
      </c>
      <c r="E254" s="41">
        <v>829.952</v>
      </c>
      <c r="F254" s="35">
        <v>1239</v>
      </c>
      <c r="G254" s="35">
        <v>75</v>
      </c>
      <c r="H254" s="43">
        <v>600</v>
      </c>
      <c r="I254" s="35">
        <v>695</v>
      </c>
      <c r="J254" s="35">
        <v>0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</row>
    <row r="255" spans="1:20" ht="15.75">
      <c r="A255" s="13">
        <v>49249</v>
      </c>
      <c r="B255" s="44">
        <v>30</v>
      </c>
      <c r="C255" s="35">
        <v>122.58</v>
      </c>
      <c r="D255" s="35">
        <v>297.94099999999997</v>
      </c>
      <c r="E255" s="41">
        <v>729.47900000000004</v>
      </c>
      <c r="F255" s="35">
        <v>1150</v>
      </c>
      <c r="G255" s="35">
        <v>100</v>
      </c>
      <c r="H255" s="43">
        <v>600</v>
      </c>
      <c r="I255" s="35">
        <v>695</v>
      </c>
      <c r="J255" s="35">
        <v>50</v>
      </c>
      <c r="K255" s="36"/>
      <c r="L255" s="36"/>
      <c r="M255" s="36"/>
      <c r="N255" s="36"/>
      <c r="O255" s="36"/>
      <c r="P255" s="36"/>
      <c r="Q255" s="36"/>
      <c r="R255" s="36"/>
      <c r="S255" s="36"/>
      <c r="T255" s="36"/>
    </row>
    <row r="256" spans="1:20" ht="15.75">
      <c r="A256" s="13">
        <v>49279</v>
      </c>
      <c r="B256" s="44">
        <v>31</v>
      </c>
      <c r="C256" s="35">
        <v>122.58</v>
      </c>
      <c r="D256" s="35">
        <v>297.94099999999997</v>
      </c>
      <c r="E256" s="41">
        <v>729.47900000000004</v>
      </c>
      <c r="F256" s="35">
        <v>1150</v>
      </c>
      <c r="G256" s="35">
        <v>100</v>
      </c>
      <c r="H256" s="43">
        <v>600</v>
      </c>
      <c r="I256" s="35">
        <v>695</v>
      </c>
      <c r="J256" s="35">
        <v>50</v>
      </c>
      <c r="K256" s="36"/>
      <c r="L256" s="36"/>
      <c r="M256" s="36"/>
      <c r="N256" s="36"/>
      <c r="O256" s="36"/>
      <c r="P256" s="36"/>
      <c r="Q256" s="36"/>
      <c r="R256" s="36"/>
      <c r="S256" s="36"/>
      <c r="T256" s="36"/>
    </row>
    <row r="257" spans="1:20" ht="15.75">
      <c r="A257" s="13">
        <v>49310</v>
      </c>
      <c r="B257" s="44">
        <v>31</v>
      </c>
      <c r="C257" s="35">
        <v>122.58</v>
      </c>
      <c r="D257" s="35">
        <v>297.94099999999997</v>
      </c>
      <c r="E257" s="41">
        <v>729.47900000000004</v>
      </c>
      <c r="F257" s="35">
        <v>1150</v>
      </c>
      <c r="G257" s="35">
        <v>100</v>
      </c>
      <c r="H257" s="43">
        <v>600</v>
      </c>
      <c r="I257" s="35">
        <v>695</v>
      </c>
      <c r="J257" s="35">
        <v>50</v>
      </c>
      <c r="K257" s="36"/>
      <c r="L257" s="36"/>
      <c r="M257" s="36"/>
      <c r="N257" s="36"/>
      <c r="O257" s="36"/>
      <c r="P257" s="36"/>
      <c r="Q257" s="36"/>
      <c r="R257" s="36"/>
      <c r="S257" s="36"/>
      <c r="T257" s="36"/>
    </row>
    <row r="258" spans="1:20" ht="15.75">
      <c r="A258" s="13">
        <v>49341</v>
      </c>
      <c r="B258" s="44">
        <v>28</v>
      </c>
      <c r="C258" s="35">
        <v>122.58</v>
      </c>
      <c r="D258" s="35">
        <v>297.94099999999997</v>
      </c>
      <c r="E258" s="41">
        <v>729.47900000000004</v>
      </c>
      <c r="F258" s="35">
        <v>1150</v>
      </c>
      <c r="G258" s="35">
        <v>100</v>
      </c>
      <c r="H258" s="43">
        <v>600</v>
      </c>
      <c r="I258" s="35">
        <v>695</v>
      </c>
      <c r="J258" s="35">
        <v>50</v>
      </c>
      <c r="K258" s="36"/>
      <c r="L258" s="36"/>
      <c r="M258" s="36"/>
      <c r="N258" s="36"/>
      <c r="O258" s="36"/>
      <c r="P258" s="36"/>
      <c r="Q258" s="36"/>
      <c r="R258" s="36"/>
      <c r="S258" s="36"/>
      <c r="T258" s="36"/>
    </row>
    <row r="259" spans="1:20" ht="15.75">
      <c r="A259" s="13">
        <v>49369</v>
      </c>
      <c r="B259" s="44">
        <v>31</v>
      </c>
      <c r="C259" s="35">
        <v>122.58</v>
      </c>
      <c r="D259" s="35">
        <v>297.94099999999997</v>
      </c>
      <c r="E259" s="41">
        <v>729.47900000000004</v>
      </c>
      <c r="F259" s="35">
        <v>1150</v>
      </c>
      <c r="G259" s="35">
        <v>100</v>
      </c>
      <c r="H259" s="43">
        <v>600</v>
      </c>
      <c r="I259" s="35">
        <v>695</v>
      </c>
      <c r="J259" s="35">
        <v>50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</row>
    <row r="260" spans="1:20" ht="15.75">
      <c r="A260" s="13">
        <v>49400</v>
      </c>
      <c r="B260" s="44">
        <v>30</v>
      </c>
      <c r="C260" s="35">
        <v>141.29300000000001</v>
      </c>
      <c r="D260" s="35">
        <v>267.99299999999999</v>
      </c>
      <c r="E260" s="41">
        <v>829.71400000000006</v>
      </c>
      <c r="F260" s="35">
        <v>1239</v>
      </c>
      <c r="G260" s="35">
        <v>100</v>
      </c>
      <c r="H260" s="43">
        <v>600</v>
      </c>
      <c r="I260" s="35">
        <v>695</v>
      </c>
      <c r="J260" s="35">
        <v>50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36"/>
    </row>
    <row r="261" spans="1:20" ht="15.75">
      <c r="A261" s="13">
        <v>49430</v>
      </c>
      <c r="B261" s="44">
        <v>31</v>
      </c>
      <c r="C261" s="35">
        <v>194.20500000000001</v>
      </c>
      <c r="D261" s="35">
        <v>267.46600000000001</v>
      </c>
      <c r="E261" s="41">
        <v>812.32899999999995</v>
      </c>
      <c r="F261" s="35">
        <v>1274</v>
      </c>
      <c r="G261" s="35">
        <v>75</v>
      </c>
      <c r="H261" s="43">
        <v>600</v>
      </c>
      <c r="I261" s="35">
        <v>695</v>
      </c>
      <c r="J261" s="35">
        <v>50</v>
      </c>
      <c r="K261" s="36"/>
      <c r="L261" s="36"/>
      <c r="M261" s="36"/>
      <c r="N261" s="36"/>
      <c r="O261" s="36"/>
      <c r="P261" s="36"/>
      <c r="Q261" s="36"/>
      <c r="R261" s="36"/>
      <c r="S261" s="36"/>
      <c r="T261" s="36"/>
    </row>
    <row r="262" spans="1:20" ht="15.75">
      <c r="A262" s="14">
        <v>49461</v>
      </c>
      <c r="B262" s="44">
        <v>30</v>
      </c>
      <c r="C262" s="35">
        <v>194.20500000000001</v>
      </c>
      <c r="D262" s="35">
        <v>267.46600000000001</v>
      </c>
      <c r="E262" s="41">
        <v>812.32899999999995</v>
      </c>
      <c r="F262" s="35">
        <v>1274</v>
      </c>
      <c r="G262" s="35">
        <v>50</v>
      </c>
      <c r="H262" s="43">
        <v>600</v>
      </c>
      <c r="I262" s="35">
        <v>695</v>
      </c>
      <c r="J262" s="35">
        <v>50</v>
      </c>
      <c r="K262" s="36"/>
      <c r="L262" s="36"/>
      <c r="M262" s="36"/>
      <c r="N262" s="36"/>
      <c r="O262" s="36"/>
      <c r="P262" s="36"/>
      <c r="Q262" s="36"/>
      <c r="R262" s="36"/>
      <c r="S262" s="36"/>
      <c r="T262" s="36"/>
    </row>
    <row r="263" spans="1:20" ht="15.75">
      <c r="A263" s="14">
        <v>49491</v>
      </c>
      <c r="B263" s="44">
        <v>31</v>
      </c>
      <c r="C263" s="35">
        <v>194.20500000000001</v>
      </c>
      <c r="D263" s="35">
        <v>267.46600000000001</v>
      </c>
      <c r="E263" s="41">
        <v>812.32899999999995</v>
      </c>
      <c r="F263" s="35">
        <v>1274</v>
      </c>
      <c r="G263" s="35">
        <v>50</v>
      </c>
      <c r="H263" s="43">
        <v>600</v>
      </c>
      <c r="I263" s="35">
        <v>695</v>
      </c>
      <c r="J263" s="35">
        <v>0</v>
      </c>
      <c r="K263" s="36"/>
      <c r="L263" s="36"/>
      <c r="M263" s="36"/>
      <c r="N263" s="36"/>
      <c r="O263" s="36"/>
      <c r="P263" s="36"/>
      <c r="Q263" s="36"/>
      <c r="R263" s="36"/>
      <c r="S263" s="36"/>
      <c r="T263" s="36"/>
    </row>
    <row r="264" spans="1:20" ht="15.75">
      <c r="A264" s="14">
        <v>49522</v>
      </c>
      <c r="B264" s="44">
        <v>31</v>
      </c>
      <c r="C264" s="35">
        <v>194.20500000000001</v>
      </c>
      <c r="D264" s="35">
        <v>267.46600000000001</v>
      </c>
      <c r="E264" s="41">
        <v>812.32899999999995</v>
      </c>
      <c r="F264" s="35">
        <v>1274</v>
      </c>
      <c r="G264" s="35">
        <v>50</v>
      </c>
      <c r="H264" s="43">
        <v>600</v>
      </c>
      <c r="I264" s="35">
        <v>695</v>
      </c>
      <c r="J264" s="35">
        <v>0</v>
      </c>
      <c r="K264" s="36"/>
      <c r="L264" s="36"/>
      <c r="M264" s="36"/>
      <c r="N264" s="36"/>
      <c r="O264" s="36"/>
      <c r="P264" s="36"/>
      <c r="Q264" s="36"/>
      <c r="R264" s="36"/>
      <c r="S264" s="36"/>
      <c r="T264" s="36"/>
    </row>
    <row r="265" spans="1:20" ht="15.75">
      <c r="A265" s="14">
        <v>49553</v>
      </c>
      <c r="B265" s="44">
        <v>30</v>
      </c>
      <c r="C265" s="35">
        <v>194.20500000000001</v>
      </c>
      <c r="D265" s="35">
        <v>267.46600000000001</v>
      </c>
      <c r="E265" s="41">
        <v>812.32899999999995</v>
      </c>
      <c r="F265" s="35">
        <v>1274</v>
      </c>
      <c r="G265" s="35">
        <v>50</v>
      </c>
      <c r="H265" s="43">
        <v>600</v>
      </c>
      <c r="I265" s="35">
        <v>695</v>
      </c>
      <c r="J265" s="35">
        <v>0</v>
      </c>
      <c r="K265" s="36"/>
      <c r="L265" s="36"/>
      <c r="M265" s="36"/>
      <c r="N265" s="36"/>
      <c r="O265" s="36"/>
      <c r="P265" s="36"/>
      <c r="Q265" s="36"/>
      <c r="R265" s="36"/>
      <c r="S265" s="36"/>
      <c r="T265" s="36"/>
    </row>
    <row r="266" spans="1:20" ht="15.75">
      <c r="A266" s="14">
        <v>49583</v>
      </c>
      <c r="B266" s="44">
        <v>31</v>
      </c>
      <c r="C266" s="35">
        <v>131.881</v>
      </c>
      <c r="D266" s="35">
        <v>277.16699999999997</v>
      </c>
      <c r="E266" s="41">
        <v>829.952</v>
      </c>
      <c r="F266" s="35">
        <v>1239</v>
      </c>
      <c r="G266" s="35">
        <v>75</v>
      </c>
      <c r="H266" s="43">
        <v>600</v>
      </c>
      <c r="I266" s="35">
        <v>695</v>
      </c>
      <c r="J266" s="35">
        <v>0</v>
      </c>
      <c r="K266" s="36"/>
      <c r="L266" s="36"/>
      <c r="M266" s="36"/>
      <c r="N266" s="36"/>
      <c r="O266" s="36"/>
      <c r="P266" s="36"/>
      <c r="Q266" s="36"/>
      <c r="R266" s="36"/>
      <c r="S266" s="36"/>
      <c r="T266" s="36"/>
    </row>
    <row r="267" spans="1:20" ht="15.75">
      <c r="A267" s="14">
        <v>49614</v>
      </c>
      <c r="B267" s="44">
        <v>30</v>
      </c>
      <c r="C267" s="35">
        <v>122.58</v>
      </c>
      <c r="D267" s="35">
        <v>297.94099999999997</v>
      </c>
      <c r="E267" s="41">
        <v>729.47900000000004</v>
      </c>
      <c r="F267" s="35">
        <v>1150</v>
      </c>
      <c r="G267" s="35">
        <v>100</v>
      </c>
      <c r="H267" s="43">
        <v>600</v>
      </c>
      <c r="I267" s="35">
        <v>695</v>
      </c>
      <c r="J267" s="35">
        <v>50</v>
      </c>
      <c r="K267" s="36"/>
      <c r="L267" s="36"/>
      <c r="M267" s="36"/>
      <c r="N267" s="36"/>
      <c r="O267" s="36"/>
      <c r="P267" s="36"/>
      <c r="Q267" s="36"/>
      <c r="R267" s="36"/>
      <c r="S267" s="36"/>
      <c r="T267" s="36"/>
    </row>
    <row r="268" spans="1:20" ht="15.75">
      <c r="A268" s="14">
        <v>49644</v>
      </c>
      <c r="B268" s="44">
        <v>31</v>
      </c>
      <c r="C268" s="35">
        <v>122.58</v>
      </c>
      <c r="D268" s="35">
        <v>297.94099999999997</v>
      </c>
      <c r="E268" s="41">
        <v>729.47900000000004</v>
      </c>
      <c r="F268" s="35">
        <v>1150</v>
      </c>
      <c r="G268" s="35">
        <v>100</v>
      </c>
      <c r="H268" s="43">
        <v>600</v>
      </c>
      <c r="I268" s="35">
        <v>695</v>
      </c>
      <c r="J268" s="35">
        <v>50</v>
      </c>
      <c r="K268" s="36"/>
      <c r="L268" s="36"/>
      <c r="M268" s="36"/>
      <c r="N268" s="36"/>
      <c r="O268" s="36"/>
      <c r="P268" s="36"/>
      <c r="Q268" s="36"/>
      <c r="R268" s="36"/>
      <c r="S268" s="36"/>
      <c r="T268" s="36"/>
    </row>
    <row r="269" spans="1:20" ht="15.75">
      <c r="A269" s="14">
        <v>49675</v>
      </c>
      <c r="B269" s="44">
        <v>31</v>
      </c>
      <c r="C269" s="35">
        <v>122.58</v>
      </c>
      <c r="D269" s="35">
        <v>297.94099999999997</v>
      </c>
      <c r="E269" s="41">
        <v>729.47900000000004</v>
      </c>
      <c r="F269" s="35">
        <v>1150</v>
      </c>
      <c r="G269" s="35">
        <v>100</v>
      </c>
      <c r="H269" s="43">
        <v>600</v>
      </c>
      <c r="I269" s="35">
        <v>695</v>
      </c>
      <c r="J269" s="35">
        <v>50</v>
      </c>
      <c r="K269" s="36"/>
      <c r="L269" s="36"/>
      <c r="M269" s="36"/>
      <c r="N269" s="36"/>
      <c r="O269" s="36"/>
      <c r="P269" s="36"/>
      <c r="Q269" s="36"/>
      <c r="R269" s="36"/>
      <c r="S269" s="36"/>
      <c r="T269" s="36"/>
    </row>
    <row r="270" spans="1:20" ht="15.75">
      <c r="A270" s="14">
        <v>49706</v>
      </c>
      <c r="B270" s="44">
        <v>29</v>
      </c>
      <c r="C270" s="35">
        <v>122.58</v>
      </c>
      <c r="D270" s="35">
        <v>297.94099999999997</v>
      </c>
      <c r="E270" s="41">
        <v>729.47900000000004</v>
      </c>
      <c r="F270" s="35">
        <v>1150</v>
      </c>
      <c r="G270" s="35">
        <v>100</v>
      </c>
      <c r="H270" s="43">
        <v>600</v>
      </c>
      <c r="I270" s="35">
        <v>695</v>
      </c>
      <c r="J270" s="35">
        <v>50</v>
      </c>
      <c r="K270" s="36"/>
      <c r="L270" s="36"/>
      <c r="M270" s="36"/>
      <c r="N270" s="36"/>
      <c r="O270" s="36"/>
      <c r="P270" s="36"/>
      <c r="Q270" s="36"/>
      <c r="R270" s="36"/>
      <c r="S270" s="36"/>
      <c r="T270" s="36"/>
    </row>
    <row r="271" spans="1:20" ht="15.75">
      <c r="A271" s="14">
        <v>49735</v>
      </c>
      <c r="B271" s="44">
        <v>31</v>
      </c>
      <c r="C271" s="35">
        <v>122.58</v>
      </c>
      <c r="D271" s="35">
        <v>297.94099999999997</v>
      </c>
      <c r="E271" s="41">
        <v>729.47900000000004</v>
      </c>
      <c r="F271" s="35">
        <v>1150</v>
      </c>
      <c r="G271" s="35">
        <v>100</v>
      </c>
      <c r="H271" s="43">
        <v>600</v>
      </c>
      <c r="I271" s="35">
        <v>695</v>
      </c>
      <c r="J271" s="35">
        <v>50</v>
      </c>
      <c r="K271" s="36"/>
      <c r="L271" s="36"/>
      <c r="M271" s="36"/>
      <c r="N271" s="36"/>
      <c r="O271" s="36"/>
      <c r="P271" s="36"/>
      <c r="Q271" s="36"/>
      <c r="R271" s="36"/>
      <c r="S271" s="36"/>
      <c r="T271" s="36"/>
    </row>
    <row r="272" spans="1:20" ht="15.75">
      <c r="A272" s="14">
        <v>49766</v>
      </c>
      <c r="B272" s="44">
        <v>30</v>
      </c>
      <c r="C272" s="35">
        <v>141.29300000000001</v>
      </c>
      <c r="D272" s="35">
        <v>267.99299999999999</v>
      </c>
      <c r="E272" s="41">
        <v>829.71400000000006</v>
      </c>
      <c r="F272" s="35">
        <v>1239</v>
      </c>
      <c r="G272" s="35">
        <v>100</v>
      </c>
      <c r="H272" s="43">
        <v>600</v>
      </c>
      <c r="I272" s="35">
        <v>695</v>
      </c>
      <c r="J272" s="35">
        <v>50</v>
      </c>
      <c r="K272" s="36"/>
      <c r="L272" s="36"/>
      <c r="M272" s="36"/>
      <c r="N272" s="36"/>
      <c r="O272" s="36"/>
      <c r="P272" s="36"/>
      <c r="Q272" s="36"/>
      <c r="R272" s="36"/>
      <c r="S272" s="36"/>
      <c r="T272" s="36"/>
    </row>
    <row r="273" spans="1:20" ht="15.75">
      <c r="A273" s="14">
        <v>49796</v>
      </c>
      <c r="B273" s="44">
        <v>31</v>
      </c>
      <c r="C273" s="35">
        <v>194.20500000000001</v>
      </c>
      <c r="D273" s="35">
        <v>267.46600000000001</v>
      </c>
      <c r="E273" s="41">
        <v>812.32899999999995</v>
      </c>
      <c r="F273" s="35">
        <v>1274</v>
      </c>
      <c r="G273" s="35">
        <v>75</v>
      </c>
      <c r="H273" s="43">
        <v>600</v>
      </c>
      <c r="I273" s="35">
        <v>695</v>
      </c>
      <c r="J273" s="35">
        <v>50</v>
      </c>
      <c r="K273" s="36"/>
      <c r="L273" s="36"/>
      <c r="M273" s="36"/>
      <c r="N273" s="36"/>
      <c r="O273" s="36"/>
      <c r="P273" s="36"/>
      <c r="Q273" s="36"/>
      <c r="R273" s="36"/>
      <c r="S273" s="36"/>
      <c r="T273" s="36"/>
    </row>
    <row r="274" spans="1:20" ht="15.75">
      <c r="A274" s="14">
        <v>49827</v>
      </c>
      <c r="B274" s="44">
        <v>30</v>
      </c>
      <c r="C274" s="35">
        <v>194.20500000000001</v>
      </c>
      <c r="D274" s="35">
        <v>267.46600000000001</v>
      </c>
      <c r="E274" s="41">
        <v>812.32899999999995</v>
      </c>
      <c r="F274" s="35">
        <v>1274</v>
      </c>
      <c r="G274" s="35">
        <v>50</v>
      </c>
      <c r="H274" s="43">
        <v>600</v>
      </c>
      <c r="I274" s="35">
        <v>695</v>
      </c>
      <c r="J274" s="35">
        <v>50</v>
      </c>
      <c r="K274" s="36"/>
      <c r="L274" s="36"/>
      <c r="M274" s="36"/>
      <c r="N274" s="36"/>
      <c r="O274" s="36"/>
      <c r="P274" s="36"/>
      <c r="Q274" s="36"/>
      <c r="R274" s="36"/>
      <c r="S274" s="36"/>
      <c r="T274" s="36"/>
    </row>
    <row r="275" spans="1:20" ht="15.75">
      <c r="A275" s="14">
        <v>49857</v>
      </c>
      <c r="B275" s="44">
        <v>31</v>
      </c>
      <c r="C275" s="35">
        <v>194.20500000000001</v>
      </c>
      <c r="D275" s="35">
        <v>267.46600000000001</v>
      </c>
      <c r="E275" s="41">
        <v>812.32899999999995</v>
      </c>
      <c r="F275" s="35">
        <v>1274</v>
      </c>
      <c r="G275" s="35">
        <v>50</v>
      </c>
      <c r="H275" s="43">
        <v>600</v>
      </c>
      <c r="I275" s="35">
        <v>695</v>
      </c>
      <c r="J275" s="35">
        <v>0</v>
      </c>
      <c r="K275" s="36"/>
      <c r="L275" s="36"/>
      <c r="M275" s="36"/>
      <c r="N275" s="36"/>
      <c r="O275" s="36"/>
      <c r="P275" s="36"/>
      <c r="Q275" s="36"/>
      <c r="R275" s="36"/>
      <c r="S275" s="36"/>
      <c r="T275" s="36"/>
    </row>
    <row r="276" spans="1:20" ht="15.75">
      <c r="A276" s="14">
        <v>49888</v>
      </c>
      <c r="B276" s="44">
        <v>31</v>
      </c>
      <c r="C276" s="35">
        <v>194.20500000000001</v>
      </c>
      <c r="D276" s="35">
        <v>267.46600000000001</v>
      </c>
      <c r="E276" s="41">
        <v>812.32899999999995</v>
      </c>
      <c r="F276" s="35">
        <v>1274</v>
      </c>
      <c r="G276" s="35">
        <v>50</v>
      </c>
      <c r="H276" s="43">
        <v>600</v>
      </c>
      <c r="I276" s="35">
        <v>695</v>
      </c>
      <c r="J276" s="35">
        <v>0</v>
      </c>
      <c r="K276" s="36"/>
      <c r="L276" s="36"/>
      <c r="M276" s="36"/>
      <c r="N276" s="36"/>
      <c r="O276" s="36"/>
      <c r="P276" s="36"/>
      <c r="Q276" s="36"/>
      <c r="R276" s="36"/>
      <c r="S276" s="36"/>
      <c r="T276" s="36"/>
    </row>
    <row r="277" spans="1:20" ht="15.75">
      <c r="A277" s="14">
        <v>49919</v>
      </c>
      <c r="B277" s="44">
        <v>30</v>
      </c>
      <c r="C277" s="35">
        <v>194.20500000000001</v>
      </c>
      <c r="D277" s="35">
        <v>267.46600000000001</v>
      </c>
      <c r="E277" s="41">
        <v>812.32899999999995</v>
      </c>
      <c r="F277" s="35">
        <v>1274</v>
      </c>
      <c r="G277" s="35">
        <v>50</v>
      </c>
      <c r="H277" s="43">
        <v>600</v>
      </c>
      <c r="I277" s="35">
        <v>695</v>
      </c>
      <c r="J277" s="35">
        <v>0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</row>
    <row r="278" spans="1:20" ht="15.75">
      <c r="A278" s="14">
        <v>49949</v>
      </c>
      <c r="B278" s="44">
        <v>31</v>
      </c>
      <c r="C278" s="35">
        <v>131.881</v>
      </c>
      <c r="D278" s="35">
        <v>277.16699999999997</v>
      </c>
      <c r="E278" s="41">
        <v>829.952</v>
      </c>
      <c r="F278" s="35">
        <v>1239</v>
      </c>
      <c r="G278" s="35">
        <v>75</v>
      </c>
      <c r="H278" s="43">
        <v>600</v>
      </c>
      <c r="I278" s="35">
        <v>695</v>
      </c>
      <c r="J278" s="35">
        <v>0</v>
      </c>
      <c r="K278" s="36"/>
      <c r="L278" s="36"/>
      <c r="M278" s="36"/>
      <c r="N278" s="36"/>
      <c r="O278" s="36"/>
      <c r="P278" s="36"/>
      <c r="Q278" s="36"/>
      <c r="R278" s="36"/>
      <c r="S278" s="36"/>
      <c r="T278" s="36"/>
    </row>
    <row r="279" spans="1:20" ht="15.75">
      <c r="A279" s="14">
        <v>49980</v>
      </c>
      <c r="B279" s="44">
        <v>30</v>
      </c>
      <c r="C279" s="35">
        <v>122.58</v>
      </c>
      <c r="D279" s="35">
        <v>297.94099999999997</v>
      </c>
      <c r="E279" s="41">
        <v>729.47900000000004</v>
      </c>
      <c r="F279" s="35">
        <v>1150</v>
      </c>
      <c r="G279" s="35">
        <v>100</v>
      </c>
      <c r="H279" s="43">
        <v>600</v>
      </c>
      <c r="I279" s="35">
        <v>695</v>
      </c>
      <c r="J279" s="35">
        <v>50</v>
      </c>
      <c r="K279" s="36"/>
      <c r="L279" s="36"/>
      <c r="M279" s="36"/>
      <c r="N279" s="36"/>
      <c r="O279" s="36"/>
      <c r="P279" s="36"/>
      <c r="Q279" s="36"/>
      <c r="R279" s="36"/>
      <c r="S279" s="36"/>
      <c r="T279" s="36"/>
    </row>
    <row r="280" spans="1:20" ht="15.75">
      <c r="A280" s="14">
        <v>50010</v>
      </c>
      <c r="B280" s="44">
        <v>31</v>
      </c>
      <c r="C280" s="35">
        <v>122.58</v>
      </c>
      <c r="D280" s="35">
        <v>297.94099999999997</v>
      </c>
      <c r="E280" s="41">
        <v>729.47900000000004</v>
      </c>
      <c r="F280" s="35">
        <v>1150</v>
      </c>
      <c r="G280" s="35">
        <v>100</v>
      </c>
      <c r="H280" s="43">
        <v>600</v>
      </c>
      <c r="I280" s="35">
        <v>695</v>
      </c>
      <c r="J280" s="35">
        <v>50</v>
      </c>
      <c r="K280" s="36"/>
      <c r="L280" s="36"/>
      <c r="M280" s="36"/>
      <c r="N280" s="36"/>
      <c r="O280" s="36"/>
      <c r="P280" s="36"/>
      <c r="Q280" s="36"/>
      <c r="R280" s="36"/>
      <c r="S280" s="36"/>
      <c r="T280" s="36"/>
    </row>
    <row r="281" spans="1:20" ht="15.75">
      <c r="A281" s="14">
        <v>50041</v>
      </c>
      <c r="B281" s="44">
        <v>31</v>
      </c>
      <c r="C281" s="35">
        <v>122.58</v>
      </c>
      <c r="D281" s="35">
        <v>297.94099999999997</v>
      </c>
      <c r="E281" s="41">
        <v>729.47900000000004</v>
      </c>
      <c r="F281" s="35">
        <v>1150</v>
      </c>
      <c r="G281" s="35">
        <v>100</v>
      </c>
      <c r="H281" s="43">
        <v>600</v>
      </c>
      <c r="I281" s="35">
        <v>695</v>
      </c>
      <c r="J281" s="35">
        <v>50</v>
      </c>
      <c r="K281" s="36"/>
      <c r="L281" s="36"/>
      <c r="M281" s="36"/>
      <c r="N281" s="36"/>
      <c r="O281" s="36"/>
      <c r="P281" s="36"/>
      <c r="Q281" s="36"/>
      <c r="R281" s="36"/>
      <c r="S281" s="36"/>
      <c r="T281" s="36"/>
    </row>
    <row r="282" spans="1:20" ht="15.75">
      <c r="A282" s="14">
        <v>50072</v>
      </c>
      <c r="B282" s="44">
        <v>28</v>
      </c>
      <c r="C282" s="35">
        <v>122.58</v>
      </c>
      <c r="D282" s="35">
        <v>297.94099999999997</v>
      </c>
      <c r="E282" s="41">
        <v>729.47900000000004</v>
      </c>
      <c r="F282" s="35">
        <v>1150</v>
      </c>
      <c r="G282" s="35">
        <v>100</v>
      </c>
      <c r="H282" s="43">
        <v>600</v>
      </c>
      <c r="I282" s="35">
        <v>695</v>
      </c>
      <c r="J282" s="35">
        <v>50</v>
      </c>
      <c r="K282" s="36"/>
      <c r="L282" s="36"/>
      <c r="M282" s="36"/>
      <c r="N282" s="36"/>
      <c r="O282" s="36"/>
      <c r="P282" s="36"/>
      <c r="Q282" s="36"/>
      <c r="R282" s="36"/>
      <c r="S282" s="36"/>
      <c r="T282" s="36"/>
    </row>
    <row r="283" spans="1:20" ht="15.75">
      <c r="A283" s="14">
        <v>50100</v>
      </c>
      <c r="B283" s="44">
        <v>31</v>
      </c>
      <c r="C283" s="35">
        <v>122.58</v>
      </c>
      <c r="D283" s="35">
        <v>297.94099999999997</v>
      </c>
      <c r="E283" s="41">
        <v>729.47900000000004</v>
      </c>
      <c r="F283" s="35">
        <v>1150</v>
      </c>
      <c r="G283" s="35">
        <v>100</v>
      </c>
      <c r="H283" s="43">
        <v>600</v>
      </c>
      <c r="I283" s="35">
        <v>695</v>
      </c>
      <c r="J283" s="35">
        <v>50</v>
      </c>
      <c r="K283" s="36"/>
      <c r="L283" s="36"/>
      <c r="M283" s="36"/>
      <c r="N283" s="36"/>
      <c r="O283" s="36"/>
      <c r="P283" s="36"/>
      <c r="Q283" s="36"/>
      <c r="R283" s="36"/>
      <c r="S283" s="36"/>
      <c r="T283" s="36"/>
    </row>
    <row r="284" spans="1:20" ht="15.75">
      <c r="A284" s="14">
        <v>50131</v>
      </c>
      <c r="B284" s="44">
        <v>30</v>
      </c>
      <c r="C284" s="35">
        <v>141.29300000000001</v>
      </c>
      <c r="D284" s="35">
        <v>267.99299999999999</v>
      </c>
      <c r="E284" s="41">
        <v>829.71400000000006</v>
      </c>
      <c r="F284" s="35">
        <v>1239</v>
      </c>
      <c r="G284" s="35">
        <v>100</v>
      </c>
      <c r="H284" s="43">
        <v>600</v>
      </c>
      <c r="I284" s="35">
        <v>695</v>
      </c>
      <c r="J284" s="35">
        <v>50</v>
      </c>
      <c r="K284" s="36"/>
      <c r="L284" s="36"/>
      <c r="M284" s="36"/>
      <c r="N284" s="36"/>
      <c r="O284" s="36"/>
      <c r="P284" s="36"/>
      <c r="Q284" s="36"/>
      <c r="R284" s="36"/>
      <c r="S284" s="36"/>
      <c r="T284" s="36"/>
    </row>
    <row r="285" spans="1:20" ht="15.75">
      <c r="A285" s="14">
        <v>50161</v>
      </c>
      <c r="B285" s="44">
        <v>31</v>
      </c>
      <c r="C285" s="35">
        <v>194.20500000000001</v>
      </c>
      <c r="D285" s="35">
        <v>267.46600000000001</v>
      </c>
      <c r="E285" s="41">
        <v>812.32899999999995</v>
      </c>
      <c r="F285" s="35">
        <v>1274</v>
      </c>
      <c r="G285" s="35">
        <v>75</v>
      </c>
      <c r="H285" s="43">
        <v>600</v>
      </c>
      <c r="I285" s="35">
        <v>695</v>
      </c>
      <c r="J285" s="35">
        <v>50</v>
      </c>
      <c r="K285" s="36"/>
      <c r="L285" s="36"/>
      <c r="M285" s="36"/>
      <c r="N285" s="36"/>
      <c r="O285" s="36"/>
      <c r="P285" s="36"/>
      <c r="Q285" s="36"/>
      <c r="R285" s="36"/>
      <c r="S285" s="36"/>
      <c r="T285" s="36"/>
    </row>
    <row r="286" spans="1:20" ht="15.75">
      <c r="A286" s="14">
        <v>50192</v>
      </c>
      <c r="B286" s="44">
        <v>30</v>
      </c>
      <c r="C286" s="35">
        <v>194.20500000000001</v>
      </c>
      <c r="D286" s="35">
        <v>267.46600000000001</v>
      </c>
      <c r="E286" s="41">
        <v>812.32899999999995</v>
      </c>
      <c r="F286" s="35">
        <v>1274</v>
      </c>
      <c r="G286" s="35">
        <v>50</v>
      </c>
      <c r="H286" s="43">
        <v>600</v>
      </c>
      <c r="I286" s="35">
        <v>695</v>
      </c>
      <c r="J286" s="35">
        <v>50</v>
      </c>
      <c r="K286" s="36"/>
      <c r="L286" s="36"/>
      <c r="M286" s="36"/>
      <c r="N286" s="36"/>
      <c r="O286" s="36"/>
      <c r="P286" s="36"/>
      <c r="Q286" s="36"/>
      <c r="R286" s="36"/>
      <c r="S286" s="36"/>
      <c r="T286" s="36"/>
    </row>
    <row r="287" spans="1:20" ht="15.75">
      <c r="A287" s="14">
        <v>50222</v>
      </c>
      <c r="B287" s="44">
        <v>31</v>
      </c>
      <c r="C287" s="35">
        <v>194.20500000000001</v>
      </c>
      <c r="D287" s="35">
        <v>267.46600000000001</v>
      </c>
      <c r="E287" s="41">
        <v>812.32899999999995</v>
      </c>
      <c r="F287" s="35">
        <v>1274</v>
      </c>
      <c r="G287" s="35">
        <v>50</v>
      </c>
      <c r="H287" s="43">
        <v>600</v>
      </c>
      <c r="I287" s="35">
        <v>695</v>
      </c>
      <c r="J287" s="35">
        <v>0</v>
      </c>
      <c r="K287" s="36"/>
      <c r="L287" s="36"/>
      <c r="M287" s="36"/>
      <c r="N287" s="36"/>
      <c r="O287" s="36"/>
      <c r="P287" s="36"/>
      <c r="Q287" s="36"/>
      <c r="R287" s="36"/>
      <c r="S287" s="36"/>
      <c r="T287" s="36"/>
    </row>
    <row r="288" spans="1:20" ht="15.75">
      <c r="A288" s="14">
        <v>50253</v>
      </c>
      <c r="B288" s="44">
        <v>31</v>
      </c>
      <c r="C288" s="35">
        <v>194.20500000000001</v>
      </c>
      <c r="D288" s="35">
        <v>267.46600000000001</v>
      </c>
      <c r="E288" s="41">
        <v>812.32899999999995</v>
      </c>
      <c r="F288" s="35">
        <v>1274</v>
      </c>
      <c r="G288" s="35">
        <v>50</v>
      </c>
      <c r="H288" s="43">
        <v>600</v>
      </c>
      <c r="I288" s="35">
        <v>695</v>
      </c>
      <c r="J288" s="35">
        <v>0</v>
      </c>
      <c r="K288" s="36"/>
      <c r="L288" s="36"/>
      <c r="M288" s="36"/>
      <c r="N288" s="36"/>
      <c r="O288" s="36"/>
      <c r="P288" s="36"/>
      <c r="Q288" s="36"/>
      <c r="R288" s="36"/>
      <c r="S288" s="36"/>
      <c r="T288" s="36"/>
    </row>
    <row r="289" spans="1:20" ht="15.75">
      <c r="A289" s="14">
        <v>50284</v>
      </c>
      <c r="B289" s="44">
        <v>30</v>
      </c>
      <c r="C289" s="35">
        <v>194.20500000000001</v>
      </c>
      <c r="D289" s="35">
        <v>267.46600000000001</v>
      </c>
      <c r="E289" s="41">
        <v>812.32899999999995</v>
      </c>
      <c r="F289" s="35">
        <v>1274</v>
      </c>
      <c r="G289" s="35">
        <v>50</v>
      </c>
      <c r="H289" s="43">
        <v>600</v>
      </c>
      <c r="I289" s="35">
        <v>695</v>
      </c>
      <c r="J289" s="35">
        <v>0</v>
      </c>
      <c r="K289" s="36"/>
      <c r="L289" s="36"/>
      <c r="M289" s="36"/>
      <c r="N289" s="36"/>
      <c r="O289" s="36"/>
      <c r="P289" s="36"/>
      <c r="Q289" s="36"/>
      <c r="R289" s="36"/>
      <c r="S289" s="36"/>
      <c r="T289" s="36"/>
    </row>
    <row r="290" spans="1:20" ht="15.75">
      <c r="A290" s="14">
        <v>50314</v>
      </c>
      <c r="B290" s="44">
        <v>31</v>
      </c>
      <c r="C290" s="35">
        <v>131.881</v>
      </c>
      <c r="D290" s="35">
        <v>277.16699999999997</v>
      </c>
      <c r="E290" s="41">
        <v>829.952</v>
      </c>
      <c r="F290" s="35">
        <v>1239</v>
      </c>
      <c r="G290" s="35">
        <v>75</v>
      </c>
      <c r="H290" s="43">
        <v>600</v>
      </c>
      <c r="I290" s="35">
        <v>695</v>
      </c>
      <c r="J290" s="35">
        <v>0</v>
      </c>
      <c r="K290" s="36"/>
      <c r="L290" s="36"/>
      <c r="M290" s="36"/>
      <c r="N290" s="36"/>
      <c r="O290" s="36"/>
      <c r="P290" s="36"/>
      <c r="Q290" s="36"/>
      <c r="R290" s="36"/>
      <c r="S290" s="36"/>
      <c r="T290" s="36"/>
    </row>
    <row r="291" spans="1:20" ht="15.75">
      <c r="A291" s="14">
        <v>50345</v>
      </c>
      <c r="B291" s="44">
        <v>30</v>
      </c>
      <c r="C291" s="35">
        <v>122.58</v>
      </c>
      <c r="D291" s="35">
        <v>297.94099999999997</v>
      </c>
      <c r="E291" s="41">
        <v>729.47900000000004</v>
      </c>
      <c r="F291" s="35">
        <v>1150</v>
      </c>
      <c r="G291" s="35">
        <v>100</v>
      </c>
      <c r="H291" s="43">
        <v>600</v>
      </c>
      <c r="I291" s="35">
        <v>695</v>
      </c>
      <c r="J291" s="35">
        <v>50</v>
      </c>
      <c r="K291" s="36"/>
      <c r="L291" s="36"/>
      <c r="M291" s="36"/>
      <c r="N291" s="36"/>
      <c r="O291" s="36"/>
      <c r="P291" s="36"/>
      <c r="Q291" s="36"/>
      <c r="R291" s="36"/>
      <c r="S291" s="36"/>
      <c r="T291" s="36"/>
    </row>
    <row r="292" spans="1:20" ht="15.75">
      <c r="A292" s="14">
        <v>50375</v>
      </c>
      <c r="B292" s="44">
        <v>31</v>
      </c>
      <c r="C292" s="35">
        <v>122.58</v>
      </c>
      <c r="D292" s="35">
        <v>297.94099999999997</v>
      </c>
      <c r="E292" s="41">
        <v>729.47900000000004</v>
      </c>
      <c r="F292" s="35">
        <v>1150</v>
      </c>
      <c r="G292" s="35">
        <v>100</v>
      </c>
      <c r="H292" s="43">
        <v>600</v>
      </c>
      <c r="I292" s="35">
        <v>695</v>
      </c>
      <c r="J292" s="35">
        <v>50</v>
      </c>
      <c r="K292" s="36"/>
      <c r="L292" s="36"/>
      <c r="M292" s="36"/>
      <c r="N292" s="36"/>
      <c r="O292" s="36"/>
      <c r="P292" s="36"/>
      <c r="Q292" s="36"/>
      <c r="R292" s="36"/>
      <c r="S292" s="36"/>
      <c r="T292" s="36"/>
    </row>
    <row r="293" spans="1:20" ht="15.75">
      <c r="A293" s="13">
        <v>50436</v>
      </c>
      <c r="B293" s="44">
        <v>31</v>
      </c>
      <c r="C293" s="35">
        <v>122.58</v>
      </c>
      <c r="D293" s="35">
        <v>297.94099999999997</v>
      </c>
      <c r="E293" s="41">
        <v>729.47900000000004</v>
      </c>
      <c r="F293" s="35">
        <v>1150</v>
      </c>
      <c r="G293" s="35">
        <v>100</v>
      </c>
      <c r="H293" s="43">
        <v>600</v>
      </c>
      <c r="I293" s="35">
        <v>695</v>
      </c>
      <c r="J293" s="35">
        <v>50</v>
      </c>
      <c r="K293" s="36"/>
      <c r="L293" s="36"/>
      <c r="M293" s="36"/>
      <c r="N293" s="36"/>
      <c r="O293" s="36"/>
      <c r="P293" s="36"/>
      <c r="Q293" s="36"/>
      <c r="R293" s="36"/>
      <c r="S293" s="36"/>
      <c r="T293" s="36"/>
    </row>
    <row r="294" spans="1:20" ht="15.75">
      <c r="A294" s="13">
        <v>50464</v>
      </c>
      <c r="B294" s="44">
        <v>28</v>
      </c>
      <c r="C294" s="35">
        <v>122.58</v>
      </c>
      <c r="D294" s="35">
        <v>297.94099999999997</v>
      </c>
      <c r="E294" s="41">
        <v>729.47900000000004</v>
      </c>
      <c r="F294" s="35">
        <v>1150</v>
      </c>
      <c r="G294" s="35">
        <v>100</v>
      </c>
      <c r="H294" s="43">
        <v>600</v>
      </c>
      <c r="I294" s="35">
        <v>695</v>
      </c>
      <c r="J294" s="35">
        <v>50</v>
      </c>
      <c r="K294" s="36"/>
      <c r="L294" s="36"/>
      <c r="M294" s="36"/>
      <c r="N294" s="36"/>
      <c r="O294" s="36"/>
      <c r="P294" s="36"/>
      <c r="Q294" s="36"/>
      <c r="R294" s="36"/>
      <c r="S294" s="36"/>
      <c r="T294" s="36"/>
    </row>
    <row r="295" spans="1:20" ht="15.75">
      <c r="A295" s="13">
        <v>50495</v>
      </c>
      <c r="B295" s="44">
        <v>31</v>
      </c>
      <c r="C295" s="35">
        <v>122.58</v>
      </c>
      <c r="D295" s="35">
        <v>297.94099999999997</v>
      </c>
      <c r="E295" s="41">
        <v>729.47900000000004</v>
      </c>
      <c r="F295" s="35">
        <v>1150</v>
      </c>
      <c r="G295" s="35">
        <v>100</v>
      </c>
      <c r="H295" s="43">
        <v>600</v>
      </c>
      <c r="I295" s="35">
        <v>695</v>
      </c>
      <c r="J295" s="35">
        <v>50</v>
      </c>
      <c r="K295" s="36"/>
      <c r="L295" s="36"/>
      <c r="M295" s="36"/>
      <c r="N295" s="36"/>
      <c r="O295" s="36"/>
      <c r="P295" s="36"/>
      <c r="Q295" s="36"/>
      <c r="R295" s="36"/>
      <c r="S295" s="36"/>
      <c r="T295" s="36"/>
    </row>
    <row r="296" spans="1:20" ht="15.75">
      <c r="A296" s="13">
        <v>50525</v>
      </c>
      <c r="B296" s="44">
        <v>30</v>
      </c>
      <c r="C296" s="35">
        <v>141.29300000000001</v>
      </c>
      <c r="D296" s="35">
        <v>267.99299999999999</v>
      </c>
      <c r="E296" s="41">
        <v>829.71400000000006</v>
      </c>
      <c r="F296" s="35">
        <v>1239</v>
      </c>
      <c r="G296" s="35">
        <v>100</v>
      </c>
      <c r="H296" s="43">
        <v>600</v>
      </c>
      <c r="I296" s="35">
        <v>695</v>
      </c>
      <c r="J296" s="35">
        <v>50</v>
      </c>
      <c r="K296" s="36"/>
      <c r="L296" s="36"/>
      <c r="M296" s="36"/>
      <c r="N296" s="36"/>
      <c r="O296" s="36"/>
      <c r="P296" s="36"/>
      <c r="Q296" s="36"/>
      <c r="R296" s="36"/>
      <c r="S296" s="36"/>
      <c r="T296" s="36"/>
    </row>
    <row r="297" spans="1:20" ht="15.75">
      <c r="A297" s="13">
        <v>50556</v>
      </c>
      <c r="B297" s="44">
        <v>31</v>
      </c>
      <c r="C297" s="35">
        <v>194.20500000000001</v>
      </c>
      <c r="D297" s="35">
        <v>267.46600000000001</v>
      </c>
      <c r="E297" s="41">
        <v>812.32899999999995</v>
      </c>
      <c r="F297" s="35">
        <v>1274</v>
      </c>
      <c r="G297" s="35">
        <v>75</v>
      </c>
      <c r="H297" s="43">
        <v>600</v>
      </c>
      <c r="I297" s="35">
        <v>695</v>
      </c>
      <c r="J297" s="35">
        <v>50</v>
      </c>
      <c r="K297" s="36"/>
      <c r="L297" s="36"/>
      <c r="M297" s="36"/>
      <c r="N297" s="36"/>
      <c r="O297" s="36"/>
      <c r="P297" s="36"/>
      <c r="Q297" s="36"/>
      <c r="R297" s="36"/>
      <c r="S297" s="36"/>
      <c r="T297" s="36"/>
    </row>
    <row r="298" spans="1:20" ht="15.75">
      <c r="A298" s="13">
        <v>50586</v>
      </c>
      <c r="B298" s="44">
        <v>30</v>
      </c>
      <c r="C298" s="35">
        <v>194.20500000000001</v>
      </c>
      <c r="D298" s="35">
        <v>267.46600000000001</v>
      </c>
      <c r="E298" s="41">
        <v>812.32899999999995</v>
      </c>
      <c r="F298" s="35">
        <v>1274</v>
      </c>
      <c r="G298" s="35">
        <v>50</v>
      </c>
      <c r="H298" s="43">
        <v>600</v>
      </c>
      <c r="I298" s="35">
        <v>695</v>
      </c>
      <c r="J298" s="35">
        <v>50</v>
      </c>
      <c r="K298" s="36"/>
      <c r="L298" s="36"/>
      <c r="M298" s="36"/>
      <c r="N298" s="36"/>
      <c r="O298" s="36"/>
      <c r="P298" s="36"/>
      <c r="Q298" s="36"/>
      <c r="R298" s="36"/>
      <c r="S298" s="36"/>
      <c r="T298" s="36"/>
    </row>
    <row r="299" spans="1:20" ht="15.75">
      <c r="A299" s="13">
        <v>50617</v>
      </c>
      <c r="B299" s="44">
        <v>31</v>
      </c>
      <c r="C299" s="35">
        <v>194.20500000000001</v>
      </c>
      <c r="D299" s="35">
        <v>267.46600000000001</v>
      </c>
      <c r="E299" s="41">
        <v>812.32899999999995</v>
      </c>
      <c r="F299" s="35">
        <v>1274</v>
      </c>
      <c r="G299" s="35">
        <v>50</v>
      </c>
      <c r="H299" s="43">
        <v>600</v>
      </c>
      <c r="I299" s="35">
        <v>695</v>
      </c>
      <c r="J299" s="35">
        <v>0</v>
      </c>
      <c r="K299" s="36"/>
      <c r="L299" s="36"/>
      <c r="M299" s="36"/>
      <c r="N299" s="36"/>
      <c r="O299" s="36"/>
      <c r="P299" s="36"/>
      <c r="Q299" s="36"/>
      <c r="R299" s="36"/>
      <c r="S299" s="36"/>
      <c r="T299" s="36"/>
    </row>
    <row r="300" spans="1:20" ht="15.75">
      <c r="A300" s="13">
        <v>50648</v>
      </c>
      <c r="B300" s="44">
        <v>31</v>
      </c>
      <c r="C300" s="35">
        <v>194.20500000000001</v>
      </c>
      <c r="D300" s="35">
        <v>267.46600000000001</v>
      </c>
      <c r="E300" s="41">
        <v>812.32899999999995</v>
      </c>
      <c r="F300" s="35">
        <v>1274</v>
      </c>
      <c r="G300" s="35">
        <v>50</v>
      </c>
      <c r="H300" s="43">
        <v>600</v>
      </c>
      <c r="I300" s="35">
        <v>695</v>
      </c>
      <c r="J300" s="35">
        <v>0</v>
      </c>
      <c r="K300" s="36"/>
      <c r="L300" s="36"/>
      <c r="M300" s="36"/>
      <c r="N300" s="36"/>
      <c r="O300" s="36"/>
      <c r="P300" s="36"/>
      <c r="Q300" s="36"/>
      <c r="R300" s="36"/>
      <c r="S300" s="36"/>
      <c r="T300" s="36"/>
    </row>
    <row r="301" spans="1:20" ht="15.75">
      <c r="A301" s="13">
        <v>50678</v>
      </c>
      <c r="B301" s="44">
        <v>30</v>
      </c>
      <c r="C301" s="35">
        <v>194.20500000000001</v>
      </c>
      <c r="D301" s="35">
        <v>267.46600000000001</v>
      </c>
      <c r="E301" s="41">
        <v>812.32899999999995</v>
      </c>
      <c r="F301" s="35">
        <v>1274</v>
      </c>
      <c r="G301" s="35">
        <v>50</v>
      </c>
      <c r="H301" s="43">
        <v>600</v>
      </c>
      <c r="I301" s="35">
        <v>695</v>
      </c>
      <c r="J301" s="35">
        <v>0</v>
      </c>
      <c r="K301" s="36"/>
      <c r="L301" s="36"/>
      <c r="M301" s="36"/>
      <c r="N301" s="36"/>
      <c r="O301" s="36"/>
      <c r="P301" s="36"/>
      <c r="Q301" s="36"/>
      <c r="R301" s="36"/>
      <c r="S301" s="36"/>
      <c r="T301" s="36"/>
    </row>
    <row r="302" spans="1:20" ht="15.75">
      <c r="A302" s="13">
        <v>50709</v>
      </c>
      <c r="B302" s="44">
        <v>31</v>
      </c>
      <c r="C302" s="35">
        <v>131.881</v>
      </c>
      <c r="D302" s="35">
        <v>277.16699999999997</v>
      </c>
      <c r="E302" s="41">
        <v>829.952</v>
      </c>
      <c r="F302" s="35">
        <v>1239</v>
      </c>
      <c r="G302" s="35">
        <v>75</v>
      </c>
      <c r="H302" s="43">
        <v>600</v>
      </c>
      <c r="I302" s="35">
        <v>695</v>
      </c>
      <c r="J302" s="35">
        <v>0</v>
      </c>
      <c r="K302" s="36"/>
      <c r="L302" s="36"/>
      <c r="M302" s="36"/>
      <c r="N302" s="36"/>
      <c r="O302" s="36"/>
      <c r="P302" s="36"/>
      <c r="Q302" s="36"/>
      <c r="R302" s="36"/>
      <c r="S302" s="36"/>
      <c r="T302" s="36"/>
    </row>
    <row r="303" spans="1:20" ht="15.75">
      <c r="A303" s="13">
        <v>50739</v>
      </c>
      <c r="B303" s="44">
        <v>30</v>
      </c>
      <c r="C303" s="35">
        <v>122.58</v>
      </c>
      <c r="D303" s="35">
        <v>297.94099999999997</v>
      </c>
      <c r="E303" s="41">
        <v>729.47900000000004</v>
      </c>
      <c r="F303" s="35">
        <v>1150</v>
      </c>
      <c r="G303" s="35">
        <v>100</v>
      </c>
      <c r="H303" s="43">
        <v>600</v>
      </c>
      <c r="I303" s="35">
        <v>695</v>
      </c>
      <c r="J303" s="35">
        <v>50</v>
      </c>
      <c r="K303" s="36"/>
      <c r="L303" s="36"/>
      <c r="M303" s="36"/>
      <c r="N303" s="36"/>
      <c r="O303" s="36"/>
      <c r="P303" s="36"/>
      <c r="Q303" s="36"/>
      <c r="R303" s="36"/>
      <c r="S303" s="36"/>
      <c r="T303" s="36"/>
    </row>
    <row r="304" spans="1:20" ht="15.75">
      <c r="A304" s="13">
        <v>50770</v>
      </c>
      <c r="B304" s="44">
        <v>31</v>
      </c>
      <c r="C304" s="35">
        <v>122.58</v>
      </c>
      <c r="D304" s="35">
        <v>297.94099999999997</v>
      </c>
      <c r="E304" s="41">
        <v>729.47900000000004</v>
      </c>
      <c r="F304" s="35">
        <v>1150</v>
      </c>
      <c r="G304" s="35">
        <v>100</v>
      </c>
      <c r="H304" s="43">
        <v>600</v>
      </c>
      <c r="I304" s="35">
        <v>695</v>
      </c>
      <c r="J304" s="35">
        <v>50</v>
      </c>
      <c r="K304" s="36"/>
      <c r="L304" s="36"/>
      <c r="M304" s="36"/>
      <c r="N304" s="36"/>
      <c r="O304" s="36"/>
      <c r="P304" s="36"/>
      <c r="Q304" s="36"/>
      <c r="R304" s="36"/>
      <c r="S304" s="36"/>
      <c r="T304" s="36"/>
    </row>
    <row r="305" spans="1:20" ht="15.75">
      <c r="A305" s="13">
        <v>50801</v>
      </c>
      <c r="B305" s="44">
        <v>31</v>
      </c>
      <c r="C305" s="35">
        <v>122.58</v>
      </c>
      <c r="D305" s="35">
        <v>297.94099999999997</v>
      </c>
      <c r="E305" s="41">
        <v>729.47900000000004</v>
      </c>
      <c r="F305" s="35">
        <v>1150</v>
      </c>
      <c r="G305" s="35">
        <v>100</v>
      </c>
      <c r="H305" s="43">
        <v>600</v>
      </c>
      <c r="I305" s="35">
        <v>695</v>
      </c>
      <c r="J305" s="35">
        <v>50</v>
      </c>
      <c r="K305" s="36"/>
      <c r="L305" s="36"/>
      <c r="M305" s="36"/>
      <c r="N305" s="36"/>
      <c r="O305" s="36"/>
      <c r="P305" s="36"/>
      <c r="Q305" s="36"/>
      <c r="R305" s="36"/>
      <c r="S305" s="36"/>
      <c r="T305" s="36"/>
    </row>
    <row r="306" spans="1:20" ht="15.75">
      <c r="A306" s="13">
        <v>50829</v>
      </c>
      <c r="B306" s="44">
        <v>28</v>
      </c>
      <c r="C306" s="35">
        <v>122.58</v>
      </c>
      <c r="D306" s="35">
        <v>297.94099999999997</v>
      </c>
      <c r="E306" s="41">
        <v>729.47900000000004</v>
      </c>
      <c r="F306" s="35">
        <v>1150</v>
      </c>
      <c r="G306" s="35">
        <v>100</v>
      </c>
      <c r="H306" s="43">
        <v>600</v>
      </c>
      <c r="I306" s="35">
        <v>695</v>
      </c>
      <c r="J306" s="35">
        <v>50</v>
      </c>
      <c r="K306" s="36"/>
      <c r="L306" s="36"/>
      <c r="M306" s="36"/>
      <c r="N306" s="36"/>
      <c r="O306" s="36"/>
      <c r="P306" s="36"/>
      <c r="Q306" s="36"/>
      <c r="R306" s="36"/>
      <c r="S306" s="36"/>
      <c r="T306" s="36"/>
    </row>
    <row r="307" spans="1:20" ht="15.75">
      <c r="A307" s="13">
        <v>50860</v>
      </c>
      <c r="B307" s="44">
        <v>31</v>
      </c>
      <c r="C307" s="35">
        <v>122.58</v>
      </c>
      <c r="D307" s="35">
        <v>297.94099999999997</v>
      </c>
      <c r="E307" s="41">
        <v>729.47900000000004</v>
      </c>
      <c r="F307" s="35">
        <v>1150</v>
      </c>
      <c r="G307" s="35">
        <v>100</v>
      </c>
      <c r="H307" s="43">
        <v>600</v>
      </c>
      <c r="I307" s="35">
        <v>695</v>
      </c>
      <c r="J307" s="35">
        <v>50</v>
      </c>
      <c r="K307" s="36"/>
      <c r="L307" s="36"/>
      <c r="M307" s="36"/>
      <c r="N307" s="36"/>
      <c r="O307" s="36"/>
      <c r="P307" s="36"/>
      <c r="Q307" s="36"/>
      <c r="R307" s="36"/>
      <c r="S307" s="36"/>
      <c r="T307" s="36"/>
    </row>
    <row r="308" spans="1:20" ht="15.75">
      <c r="A308" s="13">
        <v>50890</v>
      </c>
      <c r="B308" s="44">
        <v>30</v>
      </c>
      <c r="C308" s="35">
        <v>141.29300000000001</v>
      </c>
      <c r="D308" s="35">
        <v>267.99299999999999</v>
      </c>
      <c r="E308" s="41">
        <v>829.71400000000006</v>
      </c>
      <c r="F308" s="35">
        <v>1239</v>
      </c>
      <c r="G308" s="35">
        <v>100</v>
      </c>
      <c r="H308" s="43">
        <v>600</v>
      </c>
      <c r="I308" s="35">
        <v>695</v>
      </c>
      <c r="J308" s="35">
        <v>50</v>
      </c>
      <c r="K308" s="36"/>
      <c r="L308" s="36"/>
      <c r="M308" s="36"/>
      <c r="N308" s="36"/>
      <c r="O308" s="36"/>
      <c r="P308" s="36"/>
      <c r="Q308" s="36"/>
      <c r="R308" s="36"/>
      <c r="S308" s="36"/>
      <c r="T308" s="36"/>
    </row>
    <row r="309" spans="1:20" ht="15.75">
      <c r="A309" s="13">
        <v>50921</v>
      </c>
      <c r="B309" s="44">
        <v>31</v>
      </c>
      <c r="C309" s="35">
        <v>194.20500000000001</v>
      </c>
      <c r="D309" s="35">
        <v>267.46600000000001</v>
      </c>
      <c r="E309" s="41">
        <v>812.32899999999995</v>
      </c>
      <c r="F309" s="35">
        <v>1274</v>
      </c>
      <c r="G309" s="35">
        <v>75</v>
      </c>
      <c r="H309" s="43">
        <v>600</v>
      </c>
      <c r="I309" s="35">
        <v>695</v>
      </c>
      <c r="J309" s="35">
        <v>50</v>
      </c>
      <c r="K309" s="36"/>
      <c r="L309" s="36"/>
      <c r="M309" s="36"/>
      <c r="N309" s="36"/>
      <c r="O309" s="36"/>
      <c r="P309" s="36"/>
      <c r="Q309" s="36"/>
      <c r="R309" s="36"/>
      <c r="S309" s="36"/>
      <c r="T309" s="36"/>
    </row>
    <row r="310" spans="1:20" ht="15.75">
      <c r="A310" s="13">
        <v>50951</v>
      </c>
      <c r="B310" s="44">
        <v>30</v>
      </c>
      <c r="C310" s="35">
        <v>194.20500000000001</v>
      </c>
      <c r="D310" s="35">
        <v>267.46600000000001</v>
      </c>
      <c r="E310" s="41">
        <v>812.32899999999995</v>
      </c>
      <c r="F310" s="35">
        <v>1274</v>
      </c>
      <c r="G310" s="35">
        <v>50</v>
      </c>
      <c r="H310" s="43">
        <v>600</v>
      </c>
      <c r="I310" s="35">
        <v>695</v>
      </c>
      <c r="J310" s="35">
        <v>50</v>
      </c>
      <c r="K310" s="36"/>
      <c r="L310" s="36"/>
      <c r="M310" s="36"/>
      <c r="N310" s="36"/>
      <c r="O310" s="36"/>
      <c r="P310" s="36"/>
      <c r="Q310" s="36"/>
      <c r="R310" s="36"/>
      <c r="S310" s="36"/>
      <c r="T310" s="36"/>
    </row>
    <row r="311" spans="1:20" ht="15.75">
      <c r="A311" s="13">
        <v>50982</v>
      </c>
      <c r="B311" s="44">
        <v>31</v>
      </c>
      <c r="C311" s="35">
        <v>194.20500000000001</v>
      </c>
      <c r="D311" s="35">
        <v>267.46600000000001</v>
      </c>
      <c r="E311" s="41">
        <v>812.32899999999995</v>
      </c>
      <c r="F311" s="35">
        <v>1274</v>
      </c>
      <c r="G311" s="35">
        <v>50</v>
      </c>
      <c r="H311" s="43">
        <v>600</v>
      </c>
      <c r="I311" s="35">
        <v>695</v>
      </c>
      <c r="J311" s="35">
        <v>0</v>
      </c>
      <c r="K311" s="36"/>
      <c r="L311" s="36"/>
      <c r="M311" s="36"/>
      <c r="N311" s="36"/>
      <c r="O311" s="36"/>
      <c r="P311" s="36"/>
      <c r="Q311" s="36"/>
      <c r="R311" s="36"/>
      <c r="S311" s="36"/>
      <c r="T311" s="36"/>
    </row>
    <row r="312" spans="1:20" ht="15.75">
      <c r="A312" s="13">
        <v>51013</v>
      </c>
      <c r="B312" s="44">
        <v>31</v>
      </c>
      <c r="C312" s="35">
        <v>194.20500000000001</v>
      </c>
      <c r="D312" s="35">
        <v>267.46600000000001</v>
      </c>
      <c r="E312" s="41">
        <v>812.32899999999995</v>
      </c>
      <c r="F312" s="35">
        <v>1274</v>
      </c>
      <c r="G312" s="35">
        <v>50</v>
      </c>
      <c r="H312" s="43">
        <v>600</v>
      </c>
      <c r="I312" s="35">
        <v>695</v>
      </c>
      <c r="J312" s="35">
        <v>0</v>
      </c>
      <c r="K312" s="36"/>
      <c r="L312" s="36"/>
      <c r="M312" s="36"/>
      <c r="N312" s="36"/>
      <c r="O312" s="36"/>
      <c r="P312" s="36"/>
      <c r="Q312" s="36"/>
      <c r="R312" s="36"/>
      <c r="S312" s="36"/>
      <c r="T312" s="36"/>
    </row>
    <row r="313" spans="1:20" ht="15.75">
      <c r="A313" s="13">
        <v>51043</v>
      </c>
      <c r="B313" s="44">
        <v>30</v>
      </c>
      <c r="C313" s="35">
        <v>194.20500000000001</v>
      </c>
      <c r="D313" s="35">
        <v>267.46600000000001</v>
      </c>
      <c r="E313" s="41">
        <v>812.32899999999995</v>
      </c>
      <c r="F313" s="35">
        <v>1274</v>
      </c>
      <c r="G313" s="35">
        <v>50</v>
      </c>
      <c r="H313" s="43">
        <v>600</v>
      </c>
      <c r="I313" s="35">
        <v>695</v>
      </c>
      <c r="J313" s="35">
        <v>0</v>
      </c>
      <c r="K313" s="36"/>
      <c r="L313" s="36"/>
      <c r="M313" s="36"/>
      <c r="N313" s="36"/>
      <c r="O313" s="36"/>
      <c r="P313" s="36"/>
      <c r="Q313" s="36"/>
      <c r="R313" s="36"/>
      <c r="S313" s="36"/>
      <c r="T313" s="36"/>
    </row>
    <row r="314" spans="1:20" ht="15.75">
      <c r="A314" s="13">
        <v>51074</v>
      </c>
      <c r="B314" s="44">
        <v>31</v>
      </c>
      <c r="C314" s="35">
        <v>131.881</v>
      </c>
      <c r="D314" s="35">
        <v>277.16699999999997</v>
      </c>
      <c r="E314" s="41">
        <v>829.952</v>
      </c>
      <c r="F314" s="35">
        <v>1239</v>
      </c>
      <c r="G314" s="35">
        <v>75</v>
      </c>
      <c r="H314" s="43">
        <v>600</v>
      </c>
      <c r="I314" s="35">
        <v>695</v>
      </c>
      <c r="J314" s="35">
        <v>0</v>
      </c>
      <c r="K314" s="36"/>
      <c r="L314" s="36"/>
      <c r="M314" s="36"/>
      <c r="N314" s="36"/>
      <c r="O314" s="36"/>
      <c r="P314" s="36"/>
      <c r="Q314" s="36"/>
      <c r="R314" s="36"/>
      <c r="S314" s="36"/>
      <c r="T314" s="36"/>
    </row>
    <row r="315" spans="1:20" ht="15.75">
      <c r="A315" s="13">
        <v>51104</v>
      </c>
      <c r="B315" s="44">
        <v>30</v>
      </c>
      <c r="C315" s="35">
        <v>122.58</v>
      </c>
      <c r="D315" s="35">
        <v>297.94099999999997</v>
      </c>
      <c r="E315" s="41">
        <v>729.47900000000004</v>
      </c>
      <c r="F315" s="35">
        <v>1150</v>
      </c>
      <c r="G315" s="35">
        <v>100</v>
      </c>
      <c r="H315" s="43">
        <v>600</v>
      </c>
      <c r="I315" s="35">
        <v>695</v>
      </c>
      <c r="J315" s="35">
        <v>50</v>
      </c>
      <c r="K315" s="36"/>
      <c r="L315" s="36"/>
      <c r="M315" s="36"/>
      <c r="N315" s="36"/>
      <c r="O315" s="36"/>
      <c r="P315" s="36"/>
      <c r="Q315" s="36"/>
      <c r="R315" s="36"/>
      <c r="S315" s="36"/>
      <c r="T315" s="36"/>
    </row>
    <row r="316" spans="1:20" ht="15.75">
      <c r="A316" s="13">
        <v>51135</v>
      </c>
      <c r="B316" s="44">
        <v>31</v>
      </c>
      <c r="C316" s="35">
        <v>122.58</v>
      </c>
      <c r="D316" s="35">
        <v>297.94099999999997</v>
      </c>
      <c r="E316" s="41">
        <v>729.47900000000004</v>
      </c>
      <c r="F316" s="35">
        <v>1150</v>
      </c>
      <c r="G316" s="35">
        <v>100</v>
      </c>
      <c r="H316" s="43">
        <v>600</v>
      </c>
      <c r="I316" s="35">
        <v>695</v>
      </c>
      <c r="J316" s="35">
        <v>50</v>
      </c>
      <c r="K316" s="36"/>
      <c r="L316" s="36"/>
      <c r="M316" s="36"/>
      <c r="N316" s="36"/>
      <c r="O316" s="36"/>
      <c r="P316" s="36"/>
      <c r="Q316" s="36"/>
      <c r="R316" s="36"/>
      <c r="S316" s="36"/>
      <c r="T316" s="36"/>
    </row>
    <row r="317" spans="1:20" ht="15.75">
      <c r="A317" s="13">
        <v>51166</v>
      </c>
      <c r="B317" s="44">
        <v>31</v>
      </c>
      <c r="C317" s="35">
        <v>122.58</v>
      </c>
      <c r="D317" s="35">
        <v>297.94099999999997</v>
      </c>
      <c r="E317" s="41">
        <v>729.47900000000004</v>
      </c>
      <c r="F317" s="35">
        <v>1150</v>
      </c>
      <c r="G317" s="35">
        <v>100</v>
      </c>
      <c r="H317" s="43">
        <v>600</v>
      </c>
      <c r="I317" s="35">
        <v>695</v>
      </c>
      <c r="J317" s="35">
        <v>50</v>
      </c>
      <c r="K317" s="36"/>
      <c r="L317" s="36"/>
      <c r="M317" s="36"/>
      <c r="N317" s="36"/>
      <c r="O317" s="36"/>
      <c r="P317" s="36"/>
      <c r="Q317" s="36"/>
      <c r="R317" s="36"/>
      <c r="S317" s="36"/>
      <c r="T317" s="36"/>
    </row>
    <row r="318" spans="1:20" ht="15.75">
      <c r="A318" s="13">
        <v>51194</v>
      </c>
      <c r="B318" s="44">
        <v>29</v>
      </c>
      <c r="C318" s="35">
        <v>122.58</v>
      </c>
      <c r="D318" s="35">
        <v>297.94099999999997</v>
      </c>
      <c r="E318" s="41">
        <v>729.47900000000004</v>
      </c>
      <c r="F318" s="35">
        <v>1150</v>
      </c>
      <c r="G318" s="35">
        <v>100</v>
      </c>
      <c r="H318" s="43">
        <v>600</v>
      </c>
      <c r="I318" s="35">
        <v>695</v>
      </c>
      <c r="J318" s="35">
        <v>50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</row>
    <row r="319" spans="1:20" ht="15.75">
      <c r="A319" s="13">
        <v>51226</v>
      </c>
      <c r="B319" s="44">
        <v>31</v>
      </c>
      <c r="C319" s="35">
        <v>122.58</v>
      </c>
      <c r="D319" s="35">
        <v>297.94099999999997</v>
      </c>
      <c r="E319" s="41">
        <v>729.47900000000004</v>
      </c>
      <c r="F319" s="35">
        <v>1150</v>
      </c>
      <c r="G319" s="35">
        <v>100</v>
      </c>
      <c r="H319" s="43">
        <v>600</v>
      </c>
      <c r="I319" s="35">
        <v>695</v>
      </c>
      <c r="J319" s="35">
        <v>50</v>
      </c>
      <c r="K319" s="36"/>
      <c r="L319" s="36"/>
      <c r="M319" s="36"/>
      <c r="N319" s="36"/>
      <c r="O319" s="36"/>
      <c r="P319" s="36"/>
      <c r="Q319" s="36"/>
      <c r="R319" s="36"/>
      <c r="S319" s="36"/>
      <c r="T319" s="36"/>
    </row>
    <row r="320" spans="1:20" ht="15.75">
      <c r="A320" s="13">
        <v>51256</v>
      </c>
      <c r="B320" s="44">
        <v>30</v>
      </c>
      <c r="C320" s="35">
        <v>141.29300000000001</v>
      </c>
      <c r="D320" s="35">
        <v>267.99299999999999</v>
      </c>
      <c r="E320" s="41">
        <v>829.71400000000006</v>
      </c>
      <c r="F320" s="35">
        <v>1239</v>
      </c>
      <c r="G320" s="35">
        <v>100</v>
      </c>
      <c r="H320" s="43">
        <v>600</v>
      </c>
      <c r="I320" s="35">
        <v>695</v>
      </c>
      <c r="J320" s="35">
        <v>50</v>
      </c>
      <c r="K320" s="36"/>
      <c r="L320" s="36"/>
      <c r="M320" s="36"/>
      <c r="N320" s="36"/>
      <c r="O320" s="36"/>
      <c r="P320" s="36"/>
      <c r="Q320" s="36"/>
      <c r="R320" s="36"/>
      <c r="S320" s="36"/>
      <c r="T320" s="36"/>
    </row>
    <row r="321" spans="1:20" ht="15.75">
      <c r="A321" s="13">
        <v>51287</v>
      </c>
      <c r="B321" s="44">
        <v>31</v>
      </c>
      <c r="C321" s="35">
        <v>194.20500000000001</v>
      </c>
      <c r="D321" s="35">
        <v>267.46600000000001</v>
      </c>
      <c r="E321" s="41">
        <v>812.32899999999995</v>
      </c>
      <c r="F321" s="35">
        <v>1274</v>
      </c>
      <c r="G321" s="35">
        <v>75</v>
      </c>
      <c r="H321" s="43">
        <v>600</v>
      </c>
      <c r="I321" s="35">
        <v>695</v>
      </c>
      <c r="J321" s="35">
        <v>50</v>
      </c>
      <c r="K321" s="36"/>
      <c r="L321" s="36"/>
      <c r="M321" s="36"/>
      <c r="N321" s="36"/>
      <c r="O321" s="36"/>
      <c r="P321" s="36"/>
      <c r="Q321" s="36"/>
      <c r="R321" s="36"/>
      <c r="S321" s="36"/>
      <c r="T321" s="36"/>
    </row>
    <row r="322" spans="1:20" ht="15.75">
      <c r="A322" s="13">
        <v>51317</v>
      </c>
      <c r="B322" s="44">
        <v>30</v>
      </c>
      <c r="C322" s="35">
        <v>194.20500000000001</v>
      </c>
      <c r="D322" s="35">
        <v>267.46600000000001</v>
      </c>
      <c r="E322" s="41">
        <v>812.32899999999995</v>
      </c>
      <c r="F322" s="35">
        <v>1274</v>
      </c>
      <c r="G322" s="35">
        <v>50</v>
      </c>
      <c r="H322" s="43">
        <v>600</v>
      </c>
      <c r="I322" s="35">
        <v>695</v>
      </c>
      <c r="J322" s="35">
        <v>50</v>
      </c>
      <c r="K322" s="36"/>
      <c r="L322" s="36"/>
      <c r="M322" s="36"/>
      <c r="N322" s="36"/>
      <c r="O322" s="36"/>
      <c r="P322" s="36"/>
      <c r="Q322" s="36"/>
      <c r="R322" s="36"/>
      <c r="S322" s="36"/>
      <c r="T322" s="36"/>
    </row>
    <row r="323" spans="1:20" ht="15.75">
      <c r="A323" s="13">
        <v>51348</v>
      </c>
      <c r="B323" s="44">
        <v>31</v>
      </c>
      <c r="C323" s="35">
        <v>194.20500000000001</v>
      </c>
      <c r="D323" s="35">
        <v>267.46600000000001</v>
      </c>
      <c r="E323" s="41">
        <v>812.32899999999995</v>
      </c>
      <c r="F323" s="35">
        <v>1274</v>
      </c>
      <c r="G323" s="35">
        <v>50</v>
      </c>
      <c r="H323" s="43">
        <v>600</v>
      </c>
      <c r="I323" s="35">
        <v>695</v>
      </c>
      <c r="J323" s="35">
        <v>0</v>
      </c>
      <c r="K323" s="36"/>
      <c r="L323" s="36"/>
      <c r="M323" s="36"/>
      <c r="N323" s="36"/>
      <c r="O323" s="36"/>
      <c r="P323" s="36"/>
      <c r="Q323" s="36"/>
      <c r="R323" s="36"/>
      <c r="S323" s="36"/>
      <c r="T323" s="36"/>
    </row>
    <row r="324" spans="1:20" ht="15.75">
      <c r="A324" s="13">
        <v>51379</v>
      </c>
      <c r="B324" s="44">
        <v>31</v>
      </c>
      <c r="C324" s="35">
        <v>194.20500000000001</v>
      </c>
      <c r="D324" s="35">
        <v>267.46600000000001</v>
      </c>
      <c r="E324" s="41">
        <v>812.32899999999995</v>
      </c>
      <c r="F324" s="35">
        <v>1274</v>
      </c>
      <c r="G324" s="35">
        <v>50</v>
      </c>
      <c r="H324" s="43">
        <v>600</v>
      </c>
      <c r="I324" s="35">
        <v>695</v>
      </c>
      <c r="J324" s="35">
        <v>0</v>
      </c>
      <c r="K324" s="36"/>
      <c r="L324" s="36"/>
      <c r="M324" s="36"/>
      <c r="N324" s="36"/>
      <c r="O324" s="36"/>
      <c r="P324" s="36"/>
      <c r="Q324" s="36"/>
      <c r="R324" s="36"/>
      <c r="S324" s="36"/>
      <c r="T324" s="36"/>
    </row>
    <row r="325" spans="1:20" ht="15.75">
      <c r="A325" s="13">
        <v>51409</v>
      </c>
      <c r="B325" s="44">
        <v>30</v>
      </c>
      <c r="C325" s="35">
        <v>194.20500000000001</v>
      </c>
      <c r="D325" s="35">
        <v>267.46600000000001</v>
      </c>
      <c r="E325" s="41">
        <v>812.32899999999995</v>
      </c>
      <c r="F325" s="35">
        <v>1274</v>
      </c>
      <c r="G325" s="35">
        <v>50</v>
      </c>
      <c r="H325" s="43">
        <v>600</v>
      </c>
      <c r="I325" s="35">
        <v>695</v>
      </c>
      <c r="J325" s="35">
        <v>0</v>
      </c>
      <c r="K325" s="36"/>
      <c r="L325" s="36"/>
      <c r="M325" s="36"/>
      <c r="N325" s="36"/>
      <c r="O325" s="36"/>
      <c r="P325" s="36"/>
      <c r="Q325" s="36"/>
      <c r="R325" s="36"/>
      <c r="S325" s="36"/>
      <c r="T325" s="36"/>
    </row>
    <row r="326" spans="1:20" ht="15.75">
      <c r="A326" s="13">
        <v>51440</v>
      </c>
      <c r="B326" s="44">
        <v>31</v>
      </c>
      <c r="C326" s="35">
        <v>131.881</v>
      </c>
      <c r="D326" s="35">
        <v>277.16699999999997</v>
      </c>
      <c r="E326" s="41">
        <v>829.952</v>
      </c>
      <c r="F326" s="35">
        <v>1239</v>
      </c>
      <c r="G326" s="35">
        <v>75</v>
      </c>
      <c r="H326" s="43">
        <v>600</v>
      </c>
      <c r="I326" s="35">
        <v>695</v>
      </c>
      <c r="J326" s="35">
        <v>0</v>
      </c>
      <c r="K326" s="36"/>
      <c r="L326" s="36"/>
      <c r="M326" s="36"/>
      <c r="N326" s="36"/>
      <c r="O326" s="36"/>
      <c r="P326" s="36"/>
      <c r="Q326" s="36"/>
      <c r="R326" s="36"/>
      <c r="S326" s="36"/>
      <c r="T326" s="36"/>
    </row>
    <row r="327" spans="1:20" ht="15.75">
      <c r="A327" s="13">
        <v>51470</v>
      </c>
      <c r="B327" s="44">
        <v>30</v>
      </c>
      <c r="C327" s="35">
        <v>122.58</v>
      </c>
      <c r="D327" s="35">
        <v>297.94099999999997</v>
      </c>
      <c r="E327" s="41">
        <v>729.47900000000004</v>
      </c>
      <c r="F327" s="35">
        <v>1150</v>
      </c>
      <c r="G327" s="35">
        <v>100</v>
      </c>
      <c r="H327" s="43">
        <v>600</v>
      </c>
      <c r="I327" s="35">
        <v>695</v>
      </c>
      <c r="J327" s="35">
        <v>50</v>
      </c>
      <c r="K327" s="36"/>
      <c r="L327" s="36"/>
      <c r="M327" s="36"/>
      <c r="N327" s="36"/>
      <c r="O327" s="36"/>
      <c r="P327" s="36"/>
      <c r="Q327" s="36"/>
      <c r="R327" s="36"/>
      <c r="S327" s="36"/>
      <c r="T327" s="36"/>
    </row>
    <row r="328" spans="1:20" ht="15.75">
      <c r="A328" s="13">
        <v>51501</v>
      </c>
      <c r="B328" s="44">
        <v>31</v>
      </c>
      <c r="C328" s="35">
        <v>122.58</v>
      </c>
      <c r="D328" s="35">
        <v>297.94099999999997</v>
      </c>
      <c r="E328" s="41">
        <v>729.47900000000004</v>
      </c>
      <c r="F328" s="35">
        <v>1150</v>
      </c>
      <c r="G328" s="35">
        <v>100</v>
      </c>
      <c r="H328" s="43">
        <v>600</v>
      </c>
      <c r="I328" s="35">
        <v>695</v>
      </c>
      <c r="J328" s="35">
        <v>50</v>
      </c>
      <c r="K328" s="36"/>
      <c r="L328" s="36"/>
      <c r="M328" s="36"/>
      <c r="N328" s="36"/>
      <c r="O328" s="36"/>
      <c r="P328" s="36"/>
      <c r="Q328" s="36"/>
      <c r="R328" s="36"/>
      <c r="S328" s="36"/>
      <c r="T328" s="36"/>
    </row>
    <row r="329" spans="1:20" ht="15.75">
      <c r="A329" s="13">
        <v>51532</v>
      </c>
      <c r="B329" s="44">
        <v>31</v>
      </c>
      <c r="C329" s="35">
        <v>122.58</v>
      </c>
      <c r="D329" s="35">
        <v>297.94099999999997</v>
      </c>
      <c r="E329" s="41">
        <v>729.47900000000004</v>
      </c>
      <c r="F329" s="35">
        <v>1150</v>
      </c>
      <c r="G329" s="35">
        <v>100</v>
      </c>
      <c r="H329" s="43">
        <v>600</v>
      </c>
      <c r="I329" s="35">
        <v>695</v>
      </c>
      <c r="J329" s="35">
        <v>50</v>
      </c>
      <c r="K329" s="36"/>
      <c r="L329" s="36"/>
      <c r="M329" s="36"/>
      <c r="N329" s="36"/>
      <c r="O329" s="36"/>
      <c r="P329" s="36"/>
      <c r="Q329" s="36"/>
      <c r="R329" s="36"/>
      <c r="S329" s="36"/>
      <c r="T329" s="36"/>
    </row>
    <row r="330" spans="1:20" ht="15.75">
      <c r="A330" s="13">
        <v>51560</v>
      </c>
      <c r="B330" s="44">
        <v>28</v>
      </c>
      <c r="C330" s="35">
        <v>122.58</v>
      </c>
      <c r="D330" s="35">
        <v>297.94099999999997</v>
      </c>
      <c r="E330" s="41">
        <v>729.47900000000004</v>
      </c>
      <c r="F330" s="35">
        <v>1150</v>
      </c>
      <c r="G330" s="35">
        <v>100</v>
      </c>
      <c r="H330" s="43">
        <v>600</v>
      </c>
      <c r="I330" s="35">
        <v>695</v>
      </c>
      <c r="J330" s="35">
        <v>50</v>
      </c>
      <c r="K330" s="36"/>
      <c r="L330" s="36"/>
      <c r="M330" s="36"/>
      <c r="N330" s="36"/>
      <c r="O330" s="36"/>
      <c r="P330" s="36"/>
      <c r="Q330" s="36"/>
      <c r="R330" s="36"/>
      <c r="S330" s="36"/>
      <c r="T330" s="36"/>
    </row>
    <row r="331" spans="1:20" ht="15.75">
      <c r="A331" s="13">
        <v>51591</v>
      </c>
      <c r="B331" s="44">
        <v>31</v>
      </c>
      <c r="C331" s="35">
        <v>122.58</v>
      </c>
      <c r="D331" s="35">
        <v>297.94099999999997</v>
      </c>
      <c r="E331" s="41">
        <v>729.47900000000004</v>
      </c>
      <c r="F331" s="35">
        <v>1150</v>
      </c>
      <c r="G331" s="35">
        <v>100</v>
      </c>
      <c r="H331" s="43">
        <v>600</v>
      </c>
      <c r="I331" s="35">
        <v>695</v>
      </c>
      <c r="J331" s="35">
        <v>50</v>
      </c>
      <c r="K331" s="36"/>
      <c r="L331" s="36"/>
      <c r="M331" s="36"/>
      <c r="N331" s="36"/>
      <c r="O331" s="36"/>
      <c r="P331" s="36"/>
      <c r="Q331" s="36"/>
      <c r="R331" s="36"/>
      <c r="S331" s="36"/>
      <c r="T331" s="36"/>
    </row>
    <row r="332" spans="1:20" ht="15.75">
      <c r="A332" s="13">
        <v>51621</v>
      </c>
      <c r="B332" s="44">
        <v>30</v>
      </c>
      <c r="C332" s="35">
        <v>141.29300000000001</v>
      </c>
      <c r="D332" s="35">
        <v>267.99299999999999</v>
      </c>
      <c r="E332" s="41">
        <v>829.71400000000006</v>
      </c>
      <c r="F332" s="35">
        <v>1239</v>
      </c>
      <c r="G332" s="35">
        <v>100</v>
      </c>
      <c r="H332" s="43">
        <v>600</v>
      </c>
      <c r="I332" s="35">
        <v>695</v>
      </c>
      <c r="J332" s="35">
        <v>50</v>
      </c>
      <c r="K332" s="36"/>
      <c r="L332" s="36"/>
      <c r="M332" s="36"/>
      <c r="N332" s="36"/>
      <c r="O332" s="36"/>
      <c r="P332" s="36"/>
      <c r="Q332" s="36"/>
      <c r="R332" s="36"/>
      <c r="S332" s="36"/>
      <c r="T332" s="36"/>
    </row>
    <row r="333" spans="1:20" ht="15.75">
      <c r="A333" s="13">
        <v>51652</v>
      </c>
      <c r="B333" s="44">
        <v>31</v>
      </c>
      <c r="C333" s="35">
        <v>194.20500000000001</v>
      </c>
      <c r="D333" s="35">
        <v>267.46600000000001</v>
      </c>
      <c r="E333" s="41">
        <v>812.32899999999995</v>
      </c>
      <c r="F333" s="35">
        <v>1274</v>
      </c>
      <c r="G333" s="35">
        <v>75</v>
      </c>
      <c r="H333" s="43">
        <v>600</v>
      </c>
      <c r="I333" s="35">
        <v>695</v>
      </c>
      <c r="J333" s="35">
        <v>50</v>
      </c>
      <c r="K333" s="36"/>
      <c r="L333" s="36"/>
      <c r="M333" s="36"/>
      <c r="N333" s="36"/>
      <c r="O333" s="36"/>
      <c r="P333" s="36"/>
      <c r="Q333" s="36"/>
      <c r="R333" s="36"/>
      <c r="S333" s="36"/>
      <c r="T333" s="36"/>
    </row>
    <row r="334" spans="1:20" ht="15.75">
      <c r="A334" s="13">
        <v>51682</v>
      </c>
      <c r="B334" s="44">
        <v>30</v>
      </c>
      <c r="C334" s="35">
        <v>194.20500000000001</v>
      </c>
      <c r="D334" s="35">
        <v>267.46600000000001</v>
      </c>
      <c r="E334" s="41">
        <v>812.32899999999995</v>
      </c>
      <c r="F334" s="35">
        <v>1274</v>
      </c>
      <c r="G334" s="35">
        <v>50</v>
      </c>
      <c r="H334" s="43">
        <v>600</v>
      </c>
      <c r="I334" s="35">
        <v>695</v>
      </c>
      <c r="J334" s="35">
        <v>50</v>
      </c>
      <c r="K334" s="36"/>
      <c r="L334" s="36"/>
      <c r="M334" s="36"/>
      <c r="N334" s="36"/>
      <c r="O334" s="36"/>
      <c r="P334" s="36"/>
      <c r="Q334" s="36"/>
      <c r="R334" s="36"/>
      <c r="S334" s="36"/>
      <c r="T334" s="36"/>
    </row>
    <row r="335" spans="1:20" ht="15.75">
      <c r="A335" s="13">
        <v>51713</v>
      </c>
      <c r="B335" s="44">
        <v>31</v>
      </c>
      <c r="C335" s="35">
        <v>194.20500000000001</v>
      </c>
      <c r="D335" s="35">
        <v>267.46600000000001</v>
      </c>
      <c r="E335" s="41">
        <v>812.32899999999995</v>
      </c>
      <c r="F335" s="35">
        <v>1274</v>
      </c>
      <c r="G335" s="35">
        <v>50</v>
      </c>
      <c r="H335" s="43">
        <v>600</v>
      </c>
      <c r="I335" s="35">
        <v>695</v>
      </c>
      <c r="J335" s="35">
        <v>0</v>
      </c>
      <c r="K335" s="36"/>
      <c r="L335" s="36"/>
      <c r="M335" s="36"/>
      <c r="N335" s="36"/>
      <c r="O335" s="36"/>
      <c r="P335" s="36"/>
      <c r="Q335" s="36"/>
      <c r="R335" s="36"/>
      <c r="S335" s="36"/>
      <c r="T335" s="36"/>
    </row>
    <row r="336" spans="1:20" ht="15.75">
      <c r="A336" s="13">
        <v>51744</v>
      </c>
      <c r="B336" s="44">
        <v>31</v>
      </c>
      <c r="C336" s="35">
        <v>194.20500000000001</v>
      </c>
      <c r="D336" s="35">
        <v>267.46600000000001</v>
      </c>
      <c r="E336" s="41">
        <v>812.32899999999995</v>
      </c>
      <c r="F336" s="35">
        <v>1274</v>
      </c>
      <c r="G336" s="35">
        <v>50</v>
      </c>
      <c r="H336" s="43">
        <v>600</v>
      </c>
      <c r="I336" s="35">
        <v>695</v>
      </c>
      <c r="J336" s="35">
        <v>0</v>
      </c>
      <c r="K336" s="36"/>
      <c r="L336" s="36"/>
      <c r="M336" s="36"/>
      <c r="N336" s="36"/>
      <c r="O336" s="36"/>
      <c r="P336" s="36"/>
      <c r="Q336" s="36"/>
      <c r="R336" s="36"/>
      <c r="S336" s="36"/>
      <c r="T336" s="36"/>
    </row>
    <row r="337" spans="1:20" ht="15.75">
      <c r="A337" s="13">
        <v>51774</v>
      </c>
      <c r="B337" s="44">
        <v>30</v>
      </c>
      <c r="C337" s="35">
        <v>194.20500000000001</v>
      </c>
      <c r="D337" s="35">
        <v>267.46600000000001</v>
      </c>
      <c r="E337" s="41">
        <v>812.32899999999995</v>
      </c>
      <c r="F337" s="35">
        <v>1274</v>
      </c>
      <c r="G337" s="35">
        <v>50</v>
      </c>
      <c r="H337" s="43">
        <v>600</v>
      </c>
      <c r="I337" s="35">
        <v>695</v>
      </c>
      <c r="J337" s="35">
        <v>0</v>
      </c>
      <c r="K337" s="36"/>
      <c r="L337" s="36"/>
      <c r="M337" s="36"/>
      <c r="N337" s="36"/>
      <c r="O337" s="36"/>
      <c r="P337" s="36"/>
      <c r="Q337" s="36"/>
      <c r="R337" s="36"/>
      <c r="S337" s="36"/>
      <c r="T337" s="36"/>
    </row>
    <row r="338" spans="1:20" ht="15.75">
      <c r="A338" s="13">
        <v>51805</v>
      </c>
      <c r="B338" s="44">
        <v>31</v>
      </c>
      <c r="C338" s="35">
        <v>131.881</v>
      </c>
      <c r="D338" s="35">
        <v>277.16699999999997</v>
      </c>
      <c r="E338" s="41">
        <v>829.952</v>
      </c>
      <c r="F338" s="35">
        <v>1239</v>
      </c>
      <c r="G338" s="35">
        <v>75</v>
      </c>
      <c r="H338" s="43">
        <v>600</v>
      </c>
      <c r="I338" s="35">
        <v>695</v>
      </c>
      <c r="J338" s="35">
        <v>0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</row>
    <row r="339" spans="1:20" ht="15.75">
      <c r="A339" s="13">
        <v>51835</v>
      </c>
      <c r="B339" s="44">
        <v>30</v>
      </c>
      <c r="C339" s="35">
        <v>122.58</v>
      </c>
      <c r="D339" s="35">
        <v>297.94099999999997</v>
      </c>
      <c r="E339" s="41">
        <v>729.47900000000004</v>
      </c>
      <c r="F339" s="35">
        <v>1150</v>
      </c>
      <c r="G339" s="35">
        <v>100</v>
      </c>
      <c r="H339" s="43">
        <v>600</v>
      </c>
      <c r="I339" s="35">
        <v>695</v>
      </c>
      <c r="J339" s="35">
        <v>50</v>
      </c>
      <c r="K339" s="36"/>
      <c r="L339" s="36"/>
      <c r="M339" s="36"/>
      <c r="N339" s="36"/>
      <c r="O339" s="36"/>
      <c r="P339" s="36"/>
      <c r="Q339" s="36"/>
      <c r="R339" s="36"/>
      <c r="S339" s="36"/>
      <c r="T339" s="36"/>
    </row>
    <row r="340" spans="1:20" ht="15.75">
      <c r="A340" s="13">
        <v>51866</v>
      </c>
      <c r="B340" s="44">
        <v>31</v>
      </c>
      <c r="C340" s="35">
        <v>122.58</v>
      </c>
      <c r="D340" s="35">
        <v>297.94099999999997</v>
      </c>
      <c r="E340" s="41">
        <v>729.47900000000004</v>
      </c>
      <c r="F340" s="35">
        <v>1150</v>
      </c>
      <c r="G340" s="35">
        <v>100</v>
      </c>
      <c r="H340" s="43">
        <v>600</v>
      </c>
      <c r="I340" s="35">
        <v>695</v>
      </c>
      <c r="J340" s="35">
        <v>50</v>
      </c>
      <c r="K340" s="36"/>
      <c r="L340" s="36"/>
      <c r="M340" s="36"/>
      <c r="N340" s="36"/>
      <c r="O340" s="36"/>
      <c r="P340" s="36"/>
      <c r="Q340" s="36"/>
      <c r="R340" s="36"/>
      <c r="S340" s="36"/>
      <c r="T340" s="36"/>
    </row>
    <row r="341" spans="1:20" ht="15.75">
      <c r="A341" s="13">
        <v>51897</v>
      </c>
      <c r="B341" s="44">
        <v>31</v>
      </c>
      <c r="C341" s="35">
        <v>122.58</v>
      </c>
      <c r="D341" s="35">
        <v>297.94099999999997</v>
      </c>
      <c r="E341" s="41">
        <v>729.47900000000004</v>
      </c>
      <c r="F341" s="35">
        <v>1150</v>
      </c>
      <c r="G341" s="35">
        <v>100</v>
      </c>
      <c r="H341" s="43">
        <v>600</v>
      </c>
      <c r="I341" s="35">
        <v>695</v>
      </c>
      <c r="J341" s="35">
        <v>50</v>
      </c>
      <c r="K341" s="36"/>
      <c r="L341" s="36"/>
      <c r="M341" s="36"/>
      <c r="N341" s="36"/>
      <c r="O341" s="36"/>
      <c r="P341" s="36"/>
      <c r="Q341" s="36"/>
      <c r="R341" s="36"/>
      <c r="S341" s="36"/>
      <c r="T341" s="36"/>
    </row>
    <row r="342" spans="1:20" ht="15.75">
      <c r="A342" s="13">
        <v>51925</v>
      </c>
      <c r="B342" s="44">
        <v>28</v>
      </c>
      <c r="C342" s="35">
        <v>122.58</v>
      </c>
      <c r="D342" s="35">
        <v>297.94099999999997</v>
      </c>
      <c r="E342" s="41">
        <v>729.47900000000004</v>
      </c>
      <c r="F342" s="35">
        <v>1150</v>
      </c>
      <c r="G342" s="35">
        <v>100</v>
      </c>
      <c r="H342" s="43">
        <v>600</v>
      </c>
      <c r="I342" s="35">
        <v>695</v>
      </c>
      <c r="J342" s="35">
        <v>50</v>
      </c>
      <c r="K342" s="36"/>
      <c r="L342" s="36"/>
      <c r="M342" s="36"/>
      <c r="N342" s="36"/>
      <c r="O342" s="36"/>
      <c r="P342" s="36"/>
      <c r="Q342" s="36"/>
      <c r="R342" s="36"/>
      <c r="S342" s="36"/>
      <c r="T342" s="36"/>
    </row>
    <row r="343" spans="1:20" ht="15.75">
      <c r="A343" s="13">
        <v>51956</v>
      </c>
      <c r="B343" s="44">
        <v>31</v>
      </c>
      <c r="C343" s="35">
        <v>122.58</v>
      </c>
      <c r="D343" s="35">
        <v>297.94099999999997</v>
      </c>
      <c r="E343" s="41">
        <v>729.47900000000004</v>
      </c>
      <c r="F343" s="35">
        <v>1150</v>
      </c>
      <c r="G343" s="35">
        <v>100</v>
      </c>
      <c r="H343" s="43">
        <v>600</v>
      </c>
      <c r="I343" s="35">
        <v>695</v>
      </c>
      <c r="J343" s="35">
        <v>50</v>
      </c>
      <c r="K343" s="36"/>
      <c r="L343" s="36"/>
      <c r="M343" s="36"/>
      <c r="N343" s="36"/>
      <c r="O343" s="36"/>
      <c r="P343" s="36"/>
      <c r="Q343" s="36"/>
      <c r="R343" s="36"/>
      <c r="S343" s="36"/>
      <c r="T343" s="36"/>
    </row>
    <row r="344" spans="1:20" ht="15.75">
      <c r="A344" s="13">
        <v>51986</v>
      </c>
      <c r="B344" s="44">
        <v>30</v>
      </c>
      <c r="C344" s="35">
        <v>141.29300000000001</v>
      </c>
      <c r="D344" s="35">
        <v>267.99299999999999</v>
      </c>
      <c r="E344" s="41">
        <v>829.71400000000006</v>
      </c>
      <c r="F344" s="35">
        <v>1239</v>
      </c>
      <c r="G344" s="35">
        <v>100</v>
      </c>
      <c r="H344" s="43">
        <v>600</v>
      </c>
      <c r="I344" s="35">
        <v>695</v>
      </c>
      <c r="J344" s="35">
        <v>50</v>
      </c>
      <c r="K344" s="36"/>
      <c r="L344" s="36"/>
      <c r="M344" s="36"/>
      <c r="N344" s="36"/>
      <c r="O344" s="36"/>
      <c r="P344" s="36"/>
      <c r="Q344" s="36"/>
      <c r="R344" s="36"/>
      <c r="S344" s="36"/>
      <c r="T344" s="36"/>
    </row>
    <row r="345" spans="1:20" ht="15.75">
      <c r="A345" s="13">
        <v>52017</v>
      </c>
      <c r="B345" s="44">
        <v>31</v>
      </c>
      <c r="C345" s="35">
        <v>194.20500000000001</v>
      </c>
      <c r="D345" s="35">
        <v>267.46600000000001</v>
      </c>
      <c r="E345" s="41">
        <v>812.32899999999995</v>
      </c>
      <c r="F345" s="35">
        <v>1274</v>
      </c>
      <c r="G345" s="35">
        <v>75</v>
      </c>
      <c r="H345" s="43">
        <v>600</v>
      </c>
      <c r="I345" s="35">
        <v>695</v>
      </c>
      <c r="J345" s="35">
        <v>50</v>
      </c>
      <c r="K345" s="36"/>
      <c r="L345" s="36"/>
      <c r="M345" s="36"/>
      <c r="N345" s="36"/>
      <c r="O345" s="36"/>
      <c r="P345" s="36"/>
      <c r="Q345" s="36"/>
      <c r="R345" s="36"/>
      <c r="S345" s="36"/>
      <c r="T345" s="36"/>
    </row>
    <row r="346" spans="1:20" ht="15.75">
      <c r="A346" s="13">
        <v>52047</v>
      </c>
      <c r="B346" s="44">
        <v>30</v>
      </c>
      <c r="C346" s="35">
        <v>194.20500000000001</v>
      </c>
      <c r="D346" s="35">
        <v>267.46600000000001</v>
      </c>
      <c r="E346" s="41">
        <v>812.32899999999995</v>
      </c>
      <c r="F346" s="35">
        <v>1274</v>
      </c>
      <c r="G346" s="35">
        <v>50</v>
      </c>
      <c r="H346" s="43">
        <v>600</v>
      </c>
      <c r="I346" s="35">
        <v>695</v>
      </c>
      <c r="J346" s="35">
        <v>50</v>
      </c>
      <c r="K346" s="36"/>
      <c r="L346" s="36"/>
      <c r="M346" s="36"/>
      <c r="N346" s="36"/>
      <c r="O346" s="36"/>
      <c r="P346" s="36"/>
      <c r="Q346" s="36"/>
      <c r="R346" s="36"/>
      <c r="S346" s="36"/>
      <c r="T346" s="36"/>
    </row>
    <row r="347" spans="1:20" ht="15.75">
      <c r="A347" s="13">
        <v>52078</v>
      </c>
      <c r="B347" s="44">
        <v>31</v>
      </c>
      <c r="C347" s="35">
        <v>194.20500000000001</v>
      </c>
      <c r="D347" s="35">
        <v>267.46600000000001</v>
      </c>
      <c r="E347" s="41">
        <v>812.32899999999995</v>
      </c>
      <c r="F347" s="35">
        <v>1274</v>
      </c>
      <c r="G347" s="35">
        <v>50</v>
      </c>
      <c r="H347" s="43">
        <v>600</v>
      </c>
      <c r="I347" s="35">
        <v>695</v>
      </c>
      <c r="J347" s="35">
        <v>0</v>
      </c>
      <c r="K347" s="36"/>
      <c r="L347" s="36"/>
      <c r="M347" s="36"/>
      <c r="N347" s="36"/>
      <c r="O347" s="36"/>
      <c r="P347" s="36"/>
      <c r="Q347" s="36"/>
      <c r="R347" s="36"/>
      <c r="S347" s="36"/>
      <c r="T347" s="36"/>
    </row>
    <row r="348" spans="1:20" ht="15.75">
      <c r="A348" s="13">
        <v>52109</v>
      </c>
      <c r="B348" s="44">
        <v>31</v>
      </c>
      <c r="C348" s="35">
        <v>194.20500000000001</v>
      </c>
      <c r="D348" s="35">
        <v>267.46600000000001</v>
      </c>
      <c r="E348" s="41">
        <v>812.32899999999995</v>
      </c>
      <c r="F348" s="35">
        <v>1274</v>
      </c>
      <c r="G348" s="35">
        <v>50</v>
      </c>
      <c r="H348" s="43">
        <v>600</v>
      </c>
      <c r="I348" s="35">
        <v>695</v>
      </c>
      <c r="J348" s="35">
        <v>0</v>
      </c>
      <c r="K348" s="36"/>
      <c r="L348" s="36"/>
      <c r="M348" s="36"/>
      <c r="N348" s="36"/>
      <c r="O348" s="36"/>
      <c r="P348" s="36"/>
      <c r="Q348" s="36"/>
      <c r="R348" s="36"/>
      <c r="S348" s="36"/>
      <c r="T348" s="36"/>
    </row>
    <row r="349" spans="1:20" ht="15.75">
      <c r="A349" s="13">
        <v>52139</v>
      </c>
      <c r="B349" s="44">
        <v>30</v>
      </c>
      <c r="C349" s="35">
        <v>194.20500000000001</v>
      </c>
      <c r="D349" s="35">
        <v>267.46600000000001</v>
      </c>
      <c r="E349" s="41">
        <v>812.32899999999995</v>
      </c>
      <c r="F349" s="35">
        <v>1274</v>
      </c>
      <c r="G349" s="35">
        <v>50</v>
      </c>
      <c r="H349" s="43">
        <v>600</v>
      </c>
      <c r="I349" s="35">
        <v>695</v>
      </c>
      <c r="J349" s="35">
        <v>0</v>
      </c>
      <c r="K349" s="36"/>
      <c r="L349" s="36"/>
      <c r="M349" s="36"/>
      <c r="N349" s="36"/>
      <c r="O349" s="36"/>
      <c r="P349" s="36"/>
      <c r="Q349" s="36"/>
      <c r="R349" s="36"/>
      <c r="S349" s="36"/>
      <c r="T349" s="36"/>
    </row>
    <row r="350" spans="1:20" ht="15.75">
      <c r="A350" s="13">
        <v>52170</v>
      </c>
      <c r="B350" s="44">
        <v>31</v>
      </c>
      <c r="C350" s="35">
        <v>131.881</v>
      </c>
      <c r="D350" s="35">
        <v>277.16699999999997</v>
      </c>
      <c r="E350" s="41">
        <v>829.952</v>
      </c>
      <c r="F350" s="35">
        <v>1239</v>
      </c>
      <c r="G350" s="35">
        <v>75</v>
      </c>
      <c r="H350" s="43">
        <v>600</v>
      </c>
      <c r="I350" s="35">
        <v>695</v>
      </c>
      <c r="J350" s="35">
        <v>0</v>
      </c>
      <c r="K350" s="36"/>
      <c r="L350" s="36"/>
      <c r="M350" s="36"/>
      <c r="N350" s="36"/>
      <c r="O350" s="36"/>
      <c r="P350" s="36"/>
      <c r="Q350" s="36"/>
      <c r="R350" s="36"/>
      <c r="S350" s="36"/>
      <c r="T350" s="36"/>
    </row>
    <row r="351" spans="1:20" ht="15.75">
      <c r="A351" s="13">
        <v>52200</v>
      </c>
      <c r="B351" s="44">
        <v>30</v>
      </c>
      <c r="C351" s="35">
        <v>122.58</v>
      </c>
      <c r="D351" s="35">
        <v>297.94099999999997</v>
      </c>
      <c r="E351" s="41">
        <v>729.47900000000004</v>
      </c>
      <c r="F351" s="35">
        <v>1150</v>
      </c>
      <c r="G351" s="35">
        <v>100</v>
      </c>
      <c r="H351" s="43">
        <v>600</v>
      </c>
      <c r="I351" s="35">
        <v>695</v>
      </c>
      <c r="J351" s="35">
        <v>50</v>
      </c>
      <c r="K351" s="36"/>
      <c r="L351" s="36"/>
      <c r="M351" s="36"/>
      <c r="N351" s="36"/>
      <c r="O351" s="36"/>
      <c r="P351" s="36"/>
      <c r="Q351" s="36"/>
      <c r="R351" s="36"/>
      <c r="S351" s="36"/>
      <c r="T351" s="36"/>
    </row>
    <row r="352" spans="1:20" ht="15.75">
      <c r="A352" s="13">
        <v>52231</v>
      </c>
      <c r="B352" s="44">
        <v>31</v>
      </c>
      <c r="C352" s="35">
        <v>122.58</v>
      </c>
      <c r="D352" s="35">
        <v>297.94099999999997</v>
      </c>
      <c r="E352" s="41">
        <v>729.47900000000004</v>
      </c>
      <c r="F352" s="35">
        <v>1150</v>
      </c>
      <c r="G352" s="35">
        <v>100</v>
      </c>
      <c r="H352" s="43">
        <v>600</v>
      </c>
      <c r="I352" s="35">
        <v>695</v>
      </c>
      <c r="J352" s="35">
        <v>50</v>
      </c>
      <c r="K352" s="36"/>
      <c r="L352" s="36"/>
      <c r="M352" s="36"/>
      <c r="N352" s="36"/>
      <c r="O352" s="36"/>
      <c r="P352" s="36"/>
      <c r="Q352" s="36"/>
      <c r="R352" s="36"/>
      <c r="S352" s="36"/>
      <c r="T352" s="36"/>
    </row>
    <row r="353" spans="1:20" ht="15.75">
      <c r="A353" s="13">
        <v>52262</v>
      </c>
      <c r="B353" s="44">
        <v>31</v>
      </c>
      <c r="C353" s="35">
        <v>122.58</v>
      </c>
      <c r="D353" s="35">
        <v>297.94099999999997</v>
      </c>
      <c r="E353" s="41">
        <v>729.47900000000004</v>
      </c>
      <c r="F353" s="35">
        <v>1150</v>
      </c>
      <c r="G353" s="35">
        <v>100</v>
      </c>
      <c r="H353" s="43">
        <v>600</v>
      </c>
      <c r="I353" s="35">
        <v>695</v>
      </c>
      <c r="J353" s="35">
        <v>50</v>
      </c>
      <c r="K353" s="36"/>
      <c r="L353" s="36"/>
      <c r="M353" s="36"/>
      <c r="N353" s="36"/>
      <c r="O353" s="36"/>
      <c r="P353" s="36"/>
      <c r="Q353" s="36"/>
      <c r="R353" s="36"/>
      <c r="S353" s="36"/>
      <c r="T353" s="36"/>
    </row>
    <row r="354" spans="1:20" ht="15.75">
      <c r="A354" s="13">
        <v>52290</v>
      </c>
      <c r="B354" s="44">
        <v>28</v>
      </c>
      <c r="C354" s="35">
        <v>122.58</v>
      </c>
      <c r="D354" s="35">
        <v>297.94099999999997</v>
      </c>
      <c r="E354" s="41">
        <v>729.47900000000004</v>
      </c>
      <c r="F354" s="35">
        <v>1150</v>
      </c>
      <c r="G354" s="35">
        <v>100</v>
      </c>
      <c r="H354" s="43">
        <v>600</v>
      </c>
      <c r="I354" s="35">
        <v>695</v>
      </c>
      <c r="J354" s="35">
        <v>50</v>
      </c>
      <c r="K354" s="36"/>
      <c r="L354" s="36"/>
      <c r="M354" s="36"/>
      <c r="N354" s="36"/>
      <c r="O354" s="36"/>
      <c r="P354" s="36"/>
      <c r="Q354" s="36"/>
      <c r="R354" s="36"/>
      <c r="S354" s="36"/>
      <c r="T354" s="36"/>
    </row>
    <row r="355" spans="1:20" ht="15.75">
      <c r="A355" s="13">
        <v>52321</v>
      </c>
      <c r="B355" s="44">
        <v>31</v>
      </c>
      <c r="C355" s="35">
        <v>122.58</v>
      </c>
      <c r="D355" s="35">
        <v>297.94099999999997</v>
      </c>
      <c r="E355" s="41">
        <v>729.47900000000004</v>
      </c>
      <c r="F355" s="35">
        <v>1150</v>
      </c>
      <c r="G355" s="35">
        <v>100</v>
      </c>
      <c r="H355" s="43">
        <v>600</v>
      </c>
      <c r="I355" s="35">
        <v>695</v>
      </c>
      <c r="J355" s="35">
        <v>50</v>
      </c>
      <c r="K355" s="36"/>
      <c r="L355" s="36"/>
      <c r="M355" s="36"/>
      <c r="N355" s="36"/>
      <c r="O355" s="36"/>
      <c r="P355" s="36"/>
      <c r="Q355" s="36"/>
      <c r="R355" s="36"/>
      <c r="S355" s="36"/>
      <c r="T355" s="36"/>
    </row>
    <row r="356" spans="1:20" ht="15.75">
      <c r="A356" s="13">
        <v>52351</v>
      </c>
      <c r="B356" s="44">
        <v>30</v>
      </c>
      <c r="C356" s="35">
        <v>141.29300000000001</v>
      </c>
      <c r="D356" s="35">
        <v>267.99299999999999</v>
      </c>
      <c r="E356" s="41">
        <v>829.71400000000006</v>
      </c>
      <c r="F356" s="35">
        <v>1239</v>
      </c>
      <c r="G356" s="35">
        <v>100</v>
      </c>
      <c r="H356" s="43">
        <v>600</v>
      </c>
      <c r="I356" s="35">
        <v>695</v>
      </c>
      <c r="J356" s="35">
        <v>50</v>
      </c>
      <c r="K356" s="36"/>
      <c r="L356" s="36"/>
      <c r="M356" s="36"/>
      <c r="N356" s="36"/>
      <c r="O356" s="36"/>
      <c r="P356" s="36"/>
      <c r="Q356" s="36"/>
      <c r="R356" s="36"/>
      <c r="S356" s="36"/>
      <c r="T356" s="36"/>
    </row>
    <row r="357" spans="1:20" ht="15.75">
      <c r="A357" s="13">
        <v>52382</v>
      </c>
      <c r="B357" s="44">
        <v>31</v>
      </c>
      <c r="C357" s="35">
        <v>194.20500000000001</v>
      </c>
      <c r="D357" s="35">
        <v>267.46600000000001</v>
      </c>
      <c r="E357" s="41">
        <v>812.32899999999995</v>
      </c>
      <c r="F357" s="35">
        <v>1274</v>
      </c>
      <c r="G357" s="35">
        <v>75</v>
      </c>
      <c r="H357" s="43">
        <v>600</v>
      </c>
      <c r="I357" s="35">
        <v>695</v>
      </c>
      <c r="J357" s="35">
        <v>50</v>
      </c>
      <c r="K357" s="36"/>
      <c r="L357" s="36"/>
      <c r="M357" s="36"/>
      <c r="N357" s="36"/>
      <c r="O357" s="36"/>
      <c r="P357" s="36"/>
      <c r="Q357" s="36"/>
      <c r="R357" s="36"/>
      <c r="S357" s="36"/>
      <c r="T357" s="36"/>
    </row>
    <row r="358" spans="1:20" ht="15.75">
      <c r="A358" s="13">
        <v>52412</v>
      </c>
      <c r="B358" s="44">
        <v>30</v>
      </c>
      <c r="C358" s="35">
        <v>194.20500000000001</v>
      </c>
      <c r="D358" s="35">
        <v>267.46600000000001</v>
      </c>
      <c r="E358" s="41">
        <v>812.32899999999995</v>
      </c>
      <c r="F358" s="35">
        <v>1274</v>
      </c>
      <c r="G358" s="35">
        <v>50</v>
      </c>
      <c r="H358" s="43">
        <v>600</v>
      </c>
      <c r="I358" s="35">
        <v>695</v>
      </c>
      <c r="J358" s="35">
        <v>50</v>
      </c>
      <c r="K358" s="36"/>
      <c r="L358" s="36"/>
      <c r="M358" s="36"/>
      <c r="N358" s="36"/>
      <c r="O358" s="36"/>
      <c r="P358" s="36"/>
      <c r="Q358" s="36"/>
      <c r="R358" s="36"/>
      <c r="S358" s="36"/>
      <c r="T358" s="36"/>
    </row>
    <row r="359" spans="1:20" ht="15.75">
      <c r="A359" s="13">
        <v>52443</v>
      </c>
      <c r="B359" s="44">
        <v>31</v>
      </c>
      <c r="C359" s="35">
        <v>194.20500000000001</v>
      </c>
      <c r="D359" s="35">
        <v>267.46600000000001</v>
      </c>
      <c r="E359" s="41">
        <v>812.32899999999995</v>
      </c>
      <c r="F359" s="35">
        <v>1274</v>
      </c>
      <c r="G359" s="35">
        <v>50</v>
      </c>
      <c r="H359" s="43">
        <v>600</v>
      </c>
      <c r="I359" s="35">
        <v>695</v>
      </c>
      <c r="J359" s="35">
        <v>0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</row>
    <row r="360" spans="1:20" ht="15.75">
      <c r="A360" s="13">
        <v>52474</v>
      </c>
      <c r="B360" s="44">
        <v>31</v>
      </c>
      <c r="C360" s="35">
        <v>194.20500000000001</v>
      </c>
      <c r="D360" s="35">
        <v>267.46600000000001</v>
      </c>
      <c r="E360" s="41">
        <v>812.32899999999995</v>
      </c>
      <c r="F360" s="35">
        <v>1274</v>
      </c>
      <c r="G360" s="35">
        <v>50</v>
      </c>
      <c r="H360" s="43">
        <v>600</v>
      </c>
      <c r="I360" s="35">
        <v>695</v>
      </c>
      <c r="J360" s="35">
        <v>0</v>
      </c>
      <c r="K360" s="36"/>
      <c r="L360" s="36"/>
      <c r="M360" s="36"/>
      <c r="N360" s="36"/>
      <c r="O360" s="36"/>
      <c r="P360" s="36"/>
      <c r="Q360" s="36"/>
      <c r="R360" s="36"/>
      <c r="S360" s="36"/>
      <c r="T360" s="36"/>
    </row>
    <row r="361" spans="1:20" ht="15.75">
      <c r="A361" s="13">
        <v>52504</v>
      </c>
      <c r="B361" s="44">
        <v>30</v>
      </c>
      <c r="C361" s="35">
        <v>194.20500000000001</v>
      </c>
      <c r="D361" s="35">
        <v>267.46600000000001</v>
      </c>
      <c r="E361" s="41">
        <v>812.32899999999995</v>
      </c>
      <c r="F361" s="35">
        <v>1274</v>
      </c>
      <c r="G361" s="35">
        <v>50</v>
      </c>
      <c r="H361" s="43">
        <v>600</v>
      </c>
      <c r="I361" s="35">
        <v>695</v>
      </c>
      <c r="J361" s="35">
        <v>0</v>
      </c>
      <c r="K361" s="36"/>
      <c r="L361" s="36"/>
      <c r="M361" s="36"/>
      <c r="N361" s="36"/>
      <c r="O361" s="36"/>
      <c r="P361" s="36"/>
      <c r="Q361" s="36"/>
      <c r="R361" s="36"/>
      <c r="S361" s="36"/>
      <c r="T361" s="36"/>
    </row>
    <row r="362" spans="1:20" ht="15.75">
      <c r="A362" s="13">
        <v>52535</v>
      </c>
      <c r="B362" s="44">
        <v>31</v>
      </c>
      <c r="C362" s="35">
        <v>131.881</v>
      </c>
      <c r="D362" s="35">
        <v>277.16699999999997</v>
      </c>
      <c r="E362" s="41">
        <v>829.952</v>
      </c>
      <c r="F362" s="35">
        <v>1239</v>
      </c>
      <c r="G362" s="35">
        <v>75</v>
      </c>
      <c r="H362" s="43">
        <v>600</v>
      </c>
      <c r="I362" s="35">
        <v>695</v>
      </c>
      <c r="J362" s="35">
        <v>0</v>
      </c>
      <c r="K362" s="36"/>
      <c r="L362" s="36"/>
      <c r="M362" s="36"/>
      <c r="N362" s="36"/>
      <c r="O362" s="36"/>
      <c r="P362" s="36"/>
      <c r="Q362" s="36"/>
      <c r="R362" s="36"/>
      <c r="S362" s="36"/>
      <c r="T362" s="36"/>
    </row>
    <row r="363" spans="1:20" ht="15.75">
      <c r="A363" s="13">
        <v>52565</v>
      </c>
      <c r="B363" s="44">
        <v>30</v>
      </c>
      <c r="C363" s="35">
        <v>122.58</v>
      </c>
      <c r="D363" s="35">
        <v>297.94099999999997</v>
      </c>
      <c r="E363" s="41">
        <v>729.47900000000004</v>
      </c>
      <c r="F363" s="35">
        <v>1150</v>
      </c>
      <c r="G363" s="35">
        <v>100</v>
      </c>
      <c r="H363" s="43">
        <v>600</v>
      </c>
      <c r="I363" s="35">
        <v>695</v>
      </c>
      <c r="J363" s="35">
        <v>50</v>
      </c>
      <c r="K363" s="36"/>
      <c r="L363" s="36"/>
      <c r="M363" s="36"/>
      <c r="N363" s="36"/>
      <c r="O363" s="36"/>
      <c r="P363" s="36"/>
      <c r="Q363" s="36"/>
      <c r="R363" s="36"/>
      <c r="S363" s="36"/>
      <c r="T363" s="36"/>
    </row>
    <row r="364" spans="1:20" ht="15.75">
      <c r="A364" s="13">
        <v>52596</v>
      </c>
      <c r="B364" s="44">
        <v>31</v>
      </c>
      <c r="C364" s="35">
        <v>122.58</v>
      </c>
      <c r="D364" s="35">
        <v>297.94099999999997</v>
      </c>
      <c r="E364" s="41">
        <v>729.47900000000004</v>
      </c>
      <c r="F364" s="35">
        <v>1150</v>
      </c>
      <c r="G364" s="35">
        <v>100</v>
      </c>
      <c r="H364" s="43">
        <v>600</v>
      </c>
      <c r="I364" s="35">
        <v>695</v>
      </c>
      <c r="J364" s="35">
        <v>50</v>
      </c>
      <c r="K364" s="36"/>
      <c r="L364" s="36"/>
      <c r="M364" s="36"/>
      <c r="N364" s="36"/>
      <c r="O364" s="36"/>
      <c r="P364" s="36"/>
      <c r="Q364" s="36"/>
      <c r="R364" s="36"/>
      <c r="S364" s="36"/>
      <c r="T364" s="36"/>
    </row>
    <row r="365" spans="1:20" ht="15.75">
      <c r="A365" s="13">
        <v>52627</v>
      </c>
      <c r="B365" s="44">
        <v>31</v>
      </c>
      <c r="C365" s="35">
        <v>122.58</v>
      </c>
      <c r="D365" s="35">
        <v>297.94099999999997</v>
      </c>
      <c r="E365" s="41">
        <v>729.47900000000004</v>
      </c>
      <c r="F365" s="35">
        <v>1150</v>
      </c>
      <c r="G365" s="35">
        <v>100</v>
      </c>
      <c r="H365" s="43">
        <v>600</v>
      </c>
      <c r="I365" s="35">
        <v>695</v>
      </c>
      <c r="J365" s="35">
        <v>50</v>
      </c>
      <c r="K365" s="36"/>
      <c r="L365" s="36"/>
      <c r="M365" s="36"/>
      <c r="N365" s="36"/>
      <c r="O365" s="36"/>
      <c r="P365" s="36"/>
      <c r="Q365" s="36"/>
      <c r="R365" s="36"/>
      <c r="S365" s="36"/>
      <c r="T365" s="36"/>
    </row>
    <row r="366" spans="1:20" ht="15.75">
      <c r="A366" s="13">
        <v>52655</v>
      </c>
      <c r="B366" s="44">
        <v>29</v>
      </c>
      <c r="C366" s="35">
        <v>122.58</v>
      </c>
      <c r="D366" s="35">
        <v>297.94099999999997</v>
      </c>
      <c r="E366" s="41">
        <v>729.47900000000004</v>
      </c>
      <c r="F366" s="35">
        <v>1150</v>
      </c>
      <c r="G366" s="35">
        <v>100</v>
      </c>
      <c r="H366" s="43">
        <v>600</v>
      </c>
      <c r="I366" s="35">
        <v>695</v>
      </c>
      <c r="J366" s="35">
        <v>50</v>
      </c>
      <c r="K366" s="36"/>
      <c r="L366" s="36"/>
      <c r="M366" s="36"/>
      <c r="N366" s="36"/>
      <c r="O366" s="36"/>
      <c r="P366" s="36"/>
      <c r="Q366" s="36"/>
      <c r="R366" s="36"/>
      <c r="S366" s="36"/>
      <c r="T366" s="36"/>
    </row>
    <row r="367" spans="1:20" ht="15.75">
      <c r="A367" s="13">
        <v>52687</v>
      </c>
      <c r="B367" s="44">
        <v>31</v>
      </c>
      <c r="C367" s="35">
        <v>122.58</v>
      </c>
      <c r="D367" s="35">
        <v>297.94099999999997</v>
      </c>
      <c r="E367" s="41">
        <v>729.47900000000004</v>
      </c>
      <c r="F367" s="35">
        <v>1150</v>
      </c>
      <c r="G367" s="35">
        <v>100</v>
      </c>
      <c r="H367" s="43">
        <v>600</v>
      </c>
      <c r="I367" s="35">
        <v>695</v>
      </c>
      <c r="J367" s="35">
        <v>50</v>
      </c>
      <c r="K367" s="36"/>
      <c r="L367" s="36"/>
      <c r="M367" s="36"/>
      <c r="N367" s="36"/>
      <c r="O367" s="36"/>
      <c r="P367" s="36"/>
      <c r="Q367" s="36"/>
      <c r="R367" s="36"/>
      <c r="S367" s="36"/>
      <c r="T367" s="36"/>
    </row>
    <row r="368" spans="1:20" ht="15.75">
      <c r="A368" s="13">
        <v>52717</v>
      </c>
      <c r="B368" s="44">
        <v>30</v>
      </c>
      <c r="C368" s="35">
        <v>141.29300000000001</v>
      </c>
      <c r="D368" s="35">
        <v>267.99299999999999</v>
      </c>
      <c r="E368" s="41">
        <v>829.71400000000006</v>
      </c>
      <c r="F368" s="35">
        <v>1239</v>
      </c>
      <c r="G368" s="35">
        <v>100</v>
      </c>
      <c r="H368" s="43">
        <v>600</v>
      </c>
      <c r="I368" s="35">
        <v>695</v>
      </c>
      <c r="J368" s="35">
        <v>50</v>
      </c>
      <c r="K368" s="36"/>
      <c r="L368" s="36"/>
      <c r="M368" s="36"/>
      <c r="N368" s="36"/>
      <c r="O368" s="36"/>
      <c r="P368" s="36"/>
      <c r="Q368" s="36"/>
      <c r="R368" s="36"/>
      <c r="S368" s="36"/>
      <c r="T368" s="36"/>
    </row>
    <row r="369" spans="1:20" ht="15.75">
      <c r="A369" s="13">
        <v>52748</v>
      </c>
      <c r="B369" s="44">
        <v>31</v>
      </c>
      <c r="C369" s="35">
        <v>194.20500000000001</v>
      </c>
      <c r="D369" s="35">
        <v>267.46600000000001</v>
      </c>
      <c r="E369" s="41">
        <v>812.32899999999995</v>
      </c>
      <c r="F369" s="35">
        <v>1274</v>
      </c>
      <c r="G369" s="35">
        <v>75</v>
      </c>
      <c r="H369" s="43">
        <v>600</v>
      </c>
      <c r="I369" s="35">
        <v>695</v>
      </c>
      <c r="J369" s="35">
        <v>50</v>
      </c>
      <c r="K369" s="36"/>
      <c r="L369" s="36"/>
      <c r="M369" s="36"/>
      <c r="N369" s="36"/>
      <c r="O369" s="36"/>
      <c r="P369" s="36"/>
      <c r="Q369" s="36"/>
      <c r="R369" s="36"/>
      <c r="S369" s="36"/>
      <c r="T369" s="36"/>
    </row>
    <row r="370" spans="1:20" ht="15.75">
      <c r="A370" s="13">
        <v>52778</v>
      </c>
      <c r="B370" s="44">
        <v>30</v>
      </c>
      <c r="C370" s="35">
        <v>194.20500000000001</v>
      </c>
      <c r="D370" s="35">
        <v>267.46600000000001</v>
      </c>
      <c r="E370" s="41">
        <v>812.32899999999995</v>
      </c>
      <c r="F370" s="35">
        <v>1274</v>
      </c>
      <c r="G370" s="35">
        <v>50</v>
      </c>
      <c r="H370" s="43">
        <v>600</v>
      </c>
      <c r="I370" s="35">
        <v>695</v>
      </c>
      <c r="J370" s="35">
        <v>50</v>
      </c>
      <c r="K370" s="36"/>
      <c r="L370" s="36"/>
      <c r="M370" s="36"/>
      <c r="N370" s="36"/>
      <c r="O370" s="36"/>
      <c r="P370" s="36"/>
      <c r="Q370" s="36"/>
      <c r="R370" s="36"/>
      <c r="S370" s="36"/>
      <c r="T370" s="36"/>
    </row>
    <row r="371" spans="1:20" ht="15.75">
      <c r="A371" s="13">
        <v>52809</v>
      </c>
      <c r="B371" s="44">
        <v>31</v>
      </c>
      <c r="C371" s="35">
        <v>194.20500000000001</v>
      </c>
      <c r="D371" s="35">
        <v>267.46600000000001</v>
      </c>
      <c r="E371" s="41">
        <v>812.32899999999995</v>
      </c>
      <c r="F371" s="35">
        <v>1274</v>
      </c>
      <c r="G371" s="35">
        <v>50</v>
      </c>
      <c r="H371" s="43">
        <v>600</v>
      </c>
      <c r="I371" s="35">
        <v>695</v>
      </c>
      <c r="J371" s="35">
        <v>0</v>
      </c>
      <c r="K371" s="36"/>
      <c r="L371" s="36"/>
      <c r="M371" s="36"/>
      <c r="N371" s="36"/>
      <c r="O371" s="36"/>
      <c r="P371" s="36"/>
      <c r="Q371" s="36"/>
      <c r="R371" s="36"/>
      <c r="S371" s="36"/>
      <c r="T371" s="36"/>
    </row>
    <row r="372" spans="1:20" ht="15.75">
      <c r="A372" s="13">
        <v>52840</v>
      </c>
      <c r="B372" s="44">
        <v>31</v>
      </c>
      <c r="C372" s="35">
        <v>194.20500000000001</v>
      </c>
      <c r="D372" s="35">
        <v>267.46600000000001</v>
      </c>
      <c r="E372" s="41">
        <v>812.32899999999995</v>
      </c>
      <c r="F372" s="35">
        <v>1274</v>
      </c>
      <c r="G372" s="35">
        <v>50</v>
      </c>
      <c r="H372" s="43">
        <v>600</v>
      </c>
      <c r="I372" s="35">
        <v>695</v>
      </c>
      <c r="J372" s="35">
        <v>0</v>
      </c>
      <c r="K372" s="36"/>
      <c r="L372" s="36"/>
      <c r="M372" s="36"/>
      <c r="N372" s="36"/>
      <c r="O372" s="36"/>
      <c r="P372" s="36"/>
      <c r="Q372" s="36"/>
      <c r="R372" s="36"/>
      <c r="S372" s="36"/>
      <c r="T372" s="36"/>
    </row>
    <row r="373" spans="1:20" ht="15.75">
      <c r="A373" s="13">
        <v>52870</v>
      </c>
      <c r="B373" s="44">
        <v>30</v>
      </c>
      <c r="C373" s="35">
        <v>194.20500000000001</v>
      </c>
      <c r="D373" s="35">
        <v>267.46600000000001</v>
      </c>
      <c r="E373" s="41">
        <v>812.32899999999995</v>
      </c>
      <c r="F373" s="35">
        <v>1274</v>
      </c>
      <c r="G373" s="35">
        <v>50</v>
      </c>
      <c r="H373" s="43">
        <v>600</v>
      </c>
      <c r="I373" s="35">
        <v>695</v>
      </c>
      <c r="J373" s="35">
        <v>0</v>
      </c>
      <c r="K373" s="36"/>
      <c r="L373" s="36"/>
      <c r="M373" s="36"/>
      <c r="N373" s="36"/>
      <c r="O373" s="36"/>
      <c r="P373" s="36"/>
      <c r="Q373" s="36"/>
      <c r="R373" s="36"/>
      <c r="S373" s="36"/>
      <c r="T373" s="36"/>
    </row>
    <row r="374" spans="1:20" ht="15.75">
      <c r="A374" s="13">
        <v>52901</v>
      </c>
      <c r="B374" s="44">
        <v>31</v>
      </c>
      <c r="C374" s="35">
        <v>131.881</v>
      </c>
      <c r="D374" s="35">
        <v>277.16699999999997</v>
      </c>
      <c r="E374" s="41">
        <v>829.952</v>
      </c>
      <c r="F374" s="35">
        <v>1239</v>
      </c>
      <c r="G374" s="35">
        <v>75</v>
      </c>
      <c r="H374" s="43">
        <v>600</v>
      </c>
      <c r="I374" s="35">
        <v>695</v>
      </c>
      <c r="J374" s="35">
        <v>0</v>
      </c>
      <c r="K374" s="36"/>
      <c r="L374" s="36"/>
      <c r="M374" s="36"/>
      <c r="N374" s="36"/>
      <c r="O374" s="36"/>
      <c r="P374" s="36"/>
      <c r="Q374" s="36"/>
      <c r="R374" s="36"/>
      <c r="S374" s="36"/>
      <c r="T374" s="36"/>
    </row>
    <row r="375" spans="1:20" ht="15.75">
      <c r="A375" s="13">
        <v>52931</v>
      </c>
      <c r="B375" s="44">
        <v>30</v>
      </c>
      <c r="C375" s="35">
        <v>122.58</v>
      </c>
      <c r="D375" s="35">
        <v>297.94099999999997</v>
      </c>
      <c r="E375" s="41">
        <v>729.47900000000004</v>
      </c>
      <c r="F375" s="35">
        <v>1150</v>
      </c>
      <c r="G375" s="35">
        <v>100</v>
      </c>
      <c r="H375" s="43">
        <v>600</v>
      </c>
      <c r="I375" s="35">
        <v>695</v>
      </c>
      <c r="J375" s="35">
        <v>50</v>
      </c>
      <c r="K375" s="36"/>
      <c r="L375" s="36"/>
      <c r="M375" s="36"/>
      <c r="N375" s="36"/>
      <c r="O375" s="36"/>
      <c r="P375" s="36"/>
      <c r="Q375" s="36"/>
      <c r="R375" s="36"/>
      <c r="S375" s="36"/>
      <c r="T375" s="36"/>
    </row>
    <row r="376" spans="1:20" ht="15.75">
      <c r="A376" s="13">
        <v>52962</v>
      </c>
      <c r="B376" s="44">
        <v>31</v>
      </c>
      <c r="C376" s="35">
        <v>122.58</v>
      </c>
      <c r="D376" s="35">
        <v>297.94099999999997</v>
      </c>
      <c r="E376" s="41">
        <v>729.47900000000004</v>
      </c>
      <c r="F376" s="35">
        <v>1150</v>
      </c>
      <c r="G376" s="35">
        <v>100</v>
      </c>
      <c r="H376" s="43">
        <v>600</v>
      </c>
      <c r="I376" s="35">
        <v>695</v>
      </c>
      <c r="J376" s="35">
        <v>50</v>
      </c>
      <c r="K376" s="36"/>
      <c r="L376" s="36"/>
      <c r="M376" s="36"/>
      <c r="N376" s="36"/>
      <c r="O376" s="36"/>
      <c r="P376" s="36"/>
      <c r="Q376" s="36"/>
      <c r="R376" s="36"/>
      <c r="S376" s="36"/>
      <c r="T376" s="36"/>
    </row>
    <row r="377" spans="1:20" ht="15.75">
      <c r="A377" s="13">
        <v>52993</v>
      </c>
      <c r="B377" s="44">
        <v>31</v>
      </c>
      <c r="C377" s="35">
        <v>122.58</v>
      </c>
      <c r="D377" s="35">
        <v>297.94099999999997</v>
      </c>
      <c r="E377" s="41">
        <v>729.47900000000004</v>
      </c>
      <c r="F377" s="35">
        <v>1150</v>
      </c>
      <c r="G377" s="35">
        <v>100</v>
      </c>
      <c r="H377" s="43">
        <v>600</v>
      </c>
      <c r="I377" s="35">
        <v>695</v>
      </c>
      <c r="J377" s="35">
        <v>50</v>
      </c>
      <c r="K377" s="36"/>
      <c r="L377" s="36"/>
      <c r="M377" s="36"/>
      <c r="N377" s="36"/>
      <c r="O377" s="36"/>
      <c r="P377" s="36"/>
      <c r="Q377" s="36"/>
      <c r="R377" s="36"/>
      <c r="S377" s="36"/>
      <c r="T377" s="36"/>
    </row>
    <row r="378" spans="1:20" ht="15.75">
      <c r="A378" s="13">
        <v>53021</v>
      </c>
      <c r="B378" s="44">
        <v>28</v>
      </c>
      <c r="C378" s="35">
        <v>122.58</v>
      </c>
      <c r="D378" s="35">
        <v>297.94099999999997</v>
      </c>
      <c r="E378" s="41">
        <v>729.47900000000004</v>
      </c>
      <c r="F378" s="35">
        <v>1150</v>
      </c>
      <c r="G378" s="35">
        <v>100</v>
      </c>
      <c r="H378" s="43">
        <v>600</v>
      </c>
      <c r="I378" s="35">
        <v>695</v>
      </c>
      <c r="J378" s="35">
        <v>50</v>
      </c>
      <c r="K378" s="36"/>
      <c r="L378" s="36"/>
      <c r="M378" s="36"/>
      <c r="N378" s="36"/>
      <c r="O378" s="36"/>
      <c r="P378" s="36"/>
      <c r="Q378" s="36"/>
      <c r="R378" s="36"/>
      <c r="S378" s="36"/>
      <c r="T378" s="36"/>
    </row>
    <row r="379" spans="1:20" ht="15.75">
      <c r="A379" s="13">
        <v>53052</v>
      </c>
      <c r="B379" s="44">
        <v>31</v>
      </c>
      <c r="C379" s="35">
        <v>122.58</v>
      </c>
      <c r="D379" s="35">
        <v>297.94099999999997</v>
      </c>
      <c r="E379" s="41">
        <v>729.47900000000004</v>
      </c>
      <c r="F379" s="35">
        <v>1150</v>
      </c>
      <c r="G379" s="35">
        <v>100</v>
      </c>
      <c r="H379" s="43">
        <v>600</v>
      </c>
      <c r="I379" s="35">
        <v>695</v>
      </c>
      <c r="J379" s="35">
        <v>50</v>
      </c>
      <c r="K379" s="36"/>
      <c r="L379" s="36"/>
      <c r="M379" s="36"/>
      <c r="N379" s="36"/>
      <c r="O379" s="36"/>
      <c r="P379" s="36"/>
      <c r="Q379" s="36"/>
      <c r="R379" s="36"/>
      <c r="S379" s="36"/>
      <c r="T379" s="36"/>
    </row>
    <row r="380" spans="1:20" ht="15.75">
      <c r="A380" s="13">
        <v>53082</v>
      </c>
      <c r="B380" s="44">
        <v>30</v>
      </c>
      <c r="C380" s="35">
        <v>141.29300000000001</v>
      </c>
      <c r="D380" s="35">
        <v>267.99299999999999</v>
      </c>
      <c r="E380" s="41">
        <v>829.71400000000006</v>
      </c>
      <c r="F380" s="35">
        <v>1239</v>
      </c>
      <c r="G380" s="35">
        <v>100</v>
      </c>
      <c r="H380" s="43">
        <v>600</v>
      </c>
      <c r="I380" s="35">
        <v>695</v>
      </c>
      <c r="J380" s="35">
        <v>50</v>
      </c>
      <c r="K380" s="36"/>
      <c r="L380" s="36"/>
      <c r="M380" s="36"/>
      <c r="N380" s="36"/>
      <c r="O380" s="36"/>
      <c r="P380" s="36"/>
      <c r="Q380" s="36"/>
      <c r="R380" s="36"/>
      <c r="S380" s="36"/>
      <c r="T380" s="36"/>
    </row>
    <row r="381" spans="1:20" ht="15.75">
      <c r="A381" s="13">
        <v>53113</v>
      </c>
      <c r="B381" s="44">
        <v>31</v>
      </c>
      <c r="C381" s="35">
        <v>194.20500000000001</v>
      </c>
      <c r="D381" s="35">
        <v>267.46600000000001</v>
      </c>
      <c r="E381" s="41">
        <v>812.32899999999995</v>
      </c>
      <c r="F381" s="35">
        <v>1274</v>
      </c>
      <c r="G381" s="35">
        <v>75</v>
      </c>
      <c r="H381" s="43">
        <v>600</v>
      </c>
      <c r="I381" s="35">
        <v>695</v>
      </c>
      <c r="J381" s="35">
        <v>50</v>
      </c>
      <c r="K381" s="36"/>
      <c r="L381" s="36"/>
      <c r="M381" s="36"/>
      <c r="N381" s="36"/>
      <c r="O381" s="36"/>
      <c r="P381" s="36"/>
      <c r="Q381" s="36"/>
      <c r="R381" s="36"/>
      <c r="S381" s="36"/>
      <c r="T381" s="36"/>
    </row>
    <row r="382" spans="1:20" ht="15.75">
      <c r="A382" s="13">
        <v>53143</v>
      </c>
      <c r="B382" s="44">
        <v>30</v>
      </c>
      <c r="C382" s="35">
        <v>194.20500000000001</v>
      </c>
      <c r="D382" s="35">
        <v>267.46600000000001</v>
      </c>
      <c r="E382" s="41">
        <v>812.32899999999995</v>
      </c>
      <c r="F382" s="35">
        <v>1274</v>
      </c>
      <c r="G382" s="35">
        <v>50</v>
      </c>
      <c r="H382" s="43">
        <v>600</v>
      </c>
      <c r="I382" s="35">
        <v>695</v>
      </c>
      <c r="J382" s="35">
        <v>50</v>
      </c>
      <c r="K382" s="36"/>
      <c r="L382" s="36"/>
      <c r="M382" s="36"/>
      <c r="N382" s="36"/>
      <c r="O382" s="36"/>
      <c r="P382" s="36"/>
      <c r="Q382" s="36"/>
      <c r="R382" s="36"/>
      <c r="S382" s="36"/>
      <c r="T382" s="36"/>
    </row>
    <row r="383" spans="1:20" ht="15.75">
      <c r="A383" s="13">
        <v>53174</v>
      </c>
      <c r="B383" s="44">
        <v>31</v>
      </c>
      <c r="C383" s="35">
        <v>194.20500000000001</v>
      </c>
      <c r="D383" s="35">
        <v>267.46600000000001</v>
      </c>
      <c r="E383" s="41">
        <v>812.32899999999995</v>
      </c>
      <c r="F383" s="35">
        <v>1274</v>
      </c>
      <c r="G383" s="35">
        <v>50</v>
      </c>
      <c r="H383" s="43">
        <v>600</v>
      </c>
      <c r="I383" s="35">
        <v>695</v>
      </c>
      <c r="J383" s="35">
        <v>0</v>
      </c>
      <c r="K383" s="36"/>
      <c r="L383" s="36"/>
      <c r="M383" s="36"/>
      <c r="N383" s="36"/>
      <c r="O383" s="36"/>
      <c r="P383" s="36"/>
      <c r="Q383" s="36"/>
      <c r="R383" s="36"/>
      <c r="S383" s="36"/>
      <c r="T383" s="36"/>
    </row>
    <row r="384" spans="1:20" ht="15.75">
      <c r="A384" s="13">
        <v>53205</v>
      </c>
      <c r="B384" s="44">
        <v>31</v>
      </c>
      <c r="C384" s="35">
        <v>194.20500000000001</v>
      </c>
      <c r="D384" s="35">
        <v>267.46600000000001</v>
      </c>
      <c r="E384" s="41">
        <v>812.32899999999995</v>
      </c>
      <c r="F384" s="35">
        <v>1274</v>
      </c>
      <c r="G384" s="35">
        <v>50</v>
      </c>
      <c r="H384" s="43">
        <v>600</v>
      </c>
      <c r="I384" s="35">
        <v>695</v>
      </c>
      <c r="J384" s="35">
        <v>0</v>
      </c>
      <c r="K384" s="36"/>
      <c r="L384" s="36"/>
      <c r="M384" s="36"/>
      <c r="N384" s="36"/>
      <c r="O384" s="36"/>
      <c r="P384" s="36"/>
      <c r="Q384" s="36"/>
      <c r="R384" s="36"/>
      <c r="S384" s="36"/>
      <c r="T384" s="36"/>
    </row>
    <row r="385" spans="1:20" ht="15.75">
      <c r="A385" s="13">
        <v>53235</v>
      </c>
      <c r="B385" s="44">
        <v>30</v>
      </c>
      <c r="C385" s="35">
        <v>194.20500000000001</v>
      </c>
      <c r="D385" s="35">
        <v>267.46600000000001</v>
      </c>
      <c r="E385" s="41">
        <v>812.32899999999995</v>
      </c>
      <c r="F385" s="35">
        <v>1274</v>
      </c>
      <c r="G385" s="35">
        <v>50</v>
      </c>
      <c r="H385" s="43">
        <v>600</v>
      </c>
      <c r="I385" s="35">
        <v>695</v>
      </c>
      <c r="J385" s="35">
        <v>0</v>
      </c>
      <c r="K385" s="36"/>
      <c r="L385" s="36"/>
      <c r="M385" s="36"/>
      <c r="N385" s="36"/>
      <c r="O385" s="36"/>
      <c r="P385" s="36"/>
      <c r="Q385" s="36"/>
      <c r="R385" s="36"/>
      <c r="S385" s="36"/>
      <c r="T385" s="36"/>
    </row>
    <row r="386" spans="1:20" ht="15.75">
      <c r="A386" s="13">
        <v>53266</v>
      </c>
      <c r="B386" s="44">
        <v>31</v>
      </c>
      <c r="C386" s="35">
        <v>131.881</v>
      </c>
      <c r="D386" s="35">
        <v>277.16699999999997</v>
      </c>
      <c r="E386" s="41">
        <v>829.952</v>
      </c>
      <c r="F386" s="35">
        <v>1239</v>
      </c>
      <c r="G386" s="35">
        <v>75</v>
      </c>
      <c r="H386" s="43">
        <v>600</v>
      </c>
      <c r="I386" s="35">
        <v>695</v>
      </c>
      <c r="J386" s="35">
        <v>0</v>
      </c>
      <c r="K386" s="36"/>
      <c r="L386" s="36"/>
      <c r="M386" s="36"/>
      <c r="N386" s="36"/>
      <c r="O386" s="36"/>
      <c r="P386" s="36"/>
      <c r="Q386" s="36"/>
      <c r="R386" s="36"/>
      <c r="S386" s="36"/>
      <c r="T386" s="36"/>
    </row>
    <row r="387" spans="1:20" ht="15.75">
      <c r="A387" s="13">
        <v>53296</v>
      </c>
      <c r="B387" s="44">
        <v>30</v>
      </c>
      <c r="C387" s="35">
        <v>122.58</v>
      </c>
      <c r="D387" s="35">
        <v>297.94099999999997</v>
      </c>
      <c r="E387" s="41">
        <v>729.47900000000004</v>
      </c>
      <c r="F387" s="35">
        <v>1150</v>
      </c>
      <c r="G387" s="35">
        <v>100</v>
      </c>
      <c r="H387" s="43">
        <v>600</v>
      </c>
      <c r="I387" s="35">
        <v>695</v>
      </c>
      <c r="J387" s="35">
        <v>50</v>
      </c>
      <c r="K387" s="36"/>
      <c r="L387" s="36"/>
      <c r="M387" s="36"/>
      <c r="N387" s="36"/>
      <c r="O387" s="36"/>
      <c r="P387" s="36"/>
      <c r="Q387" s="36"/>
      <c r="R387" s="36"/>
      <c r="S387" s="36"/>
      <c r="T387" s="36"/>
    </row>
    <row r="388" spans="1:20" ht="15.75">
      <c r="A388" s="13">
        <v>53327</v>
      </c>
      <c r="B388" s="44">
        <v>31</v>
      </c>
      <c r="C388" s="35">
        <v>122.58</v>
      </c>
      <c r="D388" s="35">
        <v>297.94099999999997</v>
      </c>
      <c r="E388" s="41">
        <v>729.47900000000004</v>
      </c>
      <c r="F388" s="35">
        <v>1150</v>
      </c>
      <c r="G388" s="35">
        <v>100</v>
      </c>
      <c r="H388" s="43">
        <v>600</v>
      </c>
      <c r="I388" s="35">
        <v>695</v>
      </c>
      <c r="J388" s="35">
        <v>50</v>
      </c>
      <c r="K388" s="36"/>
      <c r="L388" s="36"/>
      <c r="M388" s="36"/>
      <c r="N388" s="36"/>
      <c r="O388" s="36"/>
      <c r="P388" s="36"/>
      <c r="Q388" s="36"/>
      <c r="R388" s="36"/>
      <c r="S388" s="36"/>
      <c r="T388" s="36"/>
    </row>
    <row r="389" spans="1:20" ht="15.75">
      <c r="A389" s="13">
        <v>53358</v>
      </c>
      <c r="B389" s="44">
        <v>31</v>
      </c>
      <c r="C389" s="35">
        <v>122.58</v>
      </c>
      <c r="D389" s="35">
        <v>297.94099999999997</v>
      </c>
      <c r="E389" s="41">
        <v>729.47900000000004</v>
      </c>
      <c r="F389" s="35">
        <v>1150</v>
      </c>
      <c r="G389" s="35">
        <v>100</v>
      </c>
      <c r="H389" s="43">
        <v>600</v>
      </c>
      <c r="I389" s="35">
        <v>695</v>
      </c>
      <c r="J389" s="35">
        <v>50</v>
      </c>
      <c r="K389" s="36"/>
      <c r="L389" s="36"/>
      <c r="M389" s="36"/>
      <c r="N389" s="36"/>
      <c r="O389" s="36"/>
      <c r="P389" s="36"/>
      <c r="Q389" s="36"/>
      <c r="R389" s="36"/>
      <c r="S389" s="36"/>
      <c r="T389" s="36"/>
    </row>
    <row r="390" spans="1:20" ht="15.75">
      <c r="A390" s="13">
        <v>53386</v>
      </c>
      <c r="B390" s="44">
        <v>28</v>
      </c>
      <c r="C390" s="35">
        <v>122.58</v>
      </c>
      <c r="D390" s="35">
        <v>297.94099999999997</v>
      </c>
      <c r="E390" s="41">
        <v>729.47900000000004</v>
      </c>
      <c r="F390" s="35">
        <v>1150</v>
      </c>
      <c r="G390" s="35">
        <v>100</v>
      </c>
      <c r="H390" s="43">
        <v>600</v>
      </c>
      <c r="I390" s="35">
        <v>695</v>
      </c>
      <c r="J390" s="35">
        <v>50</v>
      </c>
      <c r="K390" s="36"/>
      <c r="L390" s="36"/>
      <c r="M390" s="36"/>
      <c r="N390" s="36"/>
      <c r="O390" s="36"/>
      <c r="P390" s="36"/>
      <c r="Q390" s="36"/>
      <c r="R390" s="36"/>
      <c r="S390" s="36"/>
      <c r="T390" s="36"/>
    </row>
    <row r="391" spans="1:20" ht="15.75">
      <c r="A391" s="13">
        <v>53417</v>
      </c>
      <c r="B391" s="44">
        <v>31</v>
      </c>
      <c r="C391" s="35">
        <v>122.58</v>
      </c>
      <c r="D391" s="35">
        <v>297.94099999999997</v>
      </c>
      <c r="E391" s="41">
        <v>729.47900000000004</v>
      </c>
      <c r="F391" s="35">
        <v>1150</v>
      </c>
      <c r="G391" s="35">
        <v>100</v>
      </c>
      <c r="H391" s="43">
        <v>600</v>
      </c>
      <c r="I391" s="35">
        <v>695</v>
      </c>
      <c r="J391" s="35">
        <v>50</v>
      </c>
      <c r="K391" s="36"/>
      <c r="L391" s="36"/>
      <c r="M391" s="36"/>
      <c r="N391" s="36"/>
      <c r="O391" s="36"/>
      <c r="P391" s="36"/>
      <c r="Q391" s="36"/>
      <c r="R391" s="36"/>
      <c r="S391" s="36"/>
      <c r="T391" s="36"/>
    </row>
    <row r="392" spans="1:20" ht="15.75">
      <c r="A392" s="13">
        <v>53447</v>
      </c>
      <c r="B392" s="44">
        <v>30</v>
      </c>
      <c r="C392" s="35">
        <v>141.29300000000001</v>
      </c>
      <c r="D392" s="35">
        <v>267.99299999999999</v>
      </c>
      <c r="E392" s="41">
        <v>829.71400000000006</v>
      </c>
      <c r="F392" s="35">
        <v>1239</v>
      </c>
      <c r="G392" s="35">
        <v>100</v>
      </c>
      <c r="H392" s="43">
        <v>600</v>
      </c>
      <c r="I392" s="35">
        <v>695</v>
      </c>
      <c r="J392" s="35">
        <v>50</v>
      </c>
      <c r="K392" s="36"/>
      <c r="L392" s="36"/>
      <c r="M392" s="36"/>
      <c r="N392" s="36"/>
      <c r="O392" s="36"/>
      <c r="P392" s="36"/>
      <c r="Q392" s="36"/>
      <c r="R392" s="36"/>
      <c r="S392" s="36"/>
      <c r="T392" s="36"/>
    </row>
    <row r="393" spans="1:20" ht="15.75">
      <c r="A393" s="13">
        <v>53478</v>
      </c>
      <c r="B393" s="44">
        <v>31</v>
      </c>
      <c r="C393" s="35">
        <v>194.20500000000001</v>
      </c>
      <c r="D393" s="35">
        <v>267.46600000000001</v>
      </c>
      <c r="E393" s="41">
        <v>812.32899999999995</v>
      </c>
      <c r="F393" s="35">
        <v>1274</v>
      </c>
      <c r="G393" s="35">
        <v>75</v>
      </c>
      <c r="H393" s="43">
        <v>600</v>
      </c>
      <c r="I393" s="35">
        <v>695</v>
      </c>
      <c r="J393" s="35">
        <v>50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</row>
    <row r="394" spans="1:20" ht="15.75">
      <c r="A394" s="13">
        <v>53508</v>
      </c>
      <c r="B394" s="44">
        <v>30</v>
      </c>
      <c r="C394" s="35">
        <v>194.20500000000001</v>
      </c>
      <c r="D394" s="35">
        <v>267.46600000000001</v>
      </c>
      <c r="E394" s="41">
        <v>812.32899999999995</v>
      </c>
      <c r="F394" s="35">
        <v>1274</v>
      </c>
      <c r="G394" s="35">
        <v>50</v>
      </c>
      <c r="H394" s="43">
        <v>600</v>
      </c>
      <c r="I394" s="35">
        <v>695</v>
      </c>
      <c r="J394" s="35">
        <v>50</v>
      </c>
      <c r="K394" s="36"/>
      <c r="L394" s="36"/>
      <c r="M394" s="36"/>
      <c r="N394" s="36"/>
      <c r="O394" s="36"/>
      <c r="P394" s="36"/>
      <c r="Q394" s="36"/>
      <c r="R394" s="36"/>
      <c r="S394" s="36"/>
      <c r="T394" s="36"/>
    </row>
    <row r="395" spans="1:20" ht="15.75">
      <c r="A395" s="13">
        <v>53539</v>
      </c>
      <c r="B395" s="44">
        <v>31</v>
      </c>
      <c r="C395" s="35">
        <v>194.20500000000001</v>
      </c>
      <c r="D395" s="35">
        <v>267.46600000000001</v>
      </c>
      <c r="E395" s="41">
        <v>812.32899999999995</v>
      </c>
      <c r="F395" s="35">
        <v>1274</v>
      </c>
      <c r="G395" s="35">
        <v>50</v>
      </c>
      <c r="H395" s="43">
        <v>600</v>
      </c>
      <c r="I395" s="35">
        <v>695</v>
      </c>
      <c r="J395" s="35">
        <v>0</v>
      </c>
      <c r="K395" s="36"/>
      <c r="L395" s="36"/>
      <c r="M395" s="36"/>
      <c r="N395" s="36"/>
      <c r="O395" s="36"/>
      <c r="P395" s="36"/>
      <c r="Q395" s="36"/>
      <c r="R395" s="36"/>
      <c r="S395" s="36"/>
      <c r="T395" s="36"/>
    </row>
    <row r="396" spans="1:20" ht="15.75">
      <c r="A396" s="13">
        <v>53570</v>
      </c>
      <c r="B396" s="44">
        <v>31</v>
      </c>
      <c r="C396" s="35">
        <v>194.20500000000001</v>
      </c>
      <c r="D396" s="35">
        <v>267.46600000000001</v>
      </c>
      <c r="E396" s="41">
        <v>812.32899999999995</v>
      </c>
      <c r="F396" s="35">
        <v>1274</v>
      </c>
      <c r="G396" s="35">
        <v>50</v>
      </c>
      <c r="H396" s="43">
        <v>600</v>
      </c>
      <c r="I396" s="35">
        <v>695</v>
      </c>
      <c r="J396" s="35">
        <v>0</v>
      </c>
      <c r="K396" s="36"/>
      <c r="L396" s="36"/>
      <c r="M396" s="36"/>
      <c r="N396" s="36"/>
      <c r="O396" s="36"/>
      <c r="P396" s="36"/>
      <c r="Q396" s="36"/>
      <c r="R396" s="36"/>
      <c r="S396" s="36"/>
      <c r="T396" s="36"/>
    </row>
    <row r="397" spans="1:20" ht="15.75">
      <c r="A397" s="13">
        <v>53600</v>
      </c>
      <c r="B397" s="44">
        <v>30</v>
      </c>
      <c r="C397" s="35">
        <v>194.20500000000001</v>
      </c>
      <c r="D397" s="35">
        <v>267.46600000000001</v>
      </c>
      <c r="E397" s="41">
        <v>812.32899999999995</v>
      </c>
      <c r="F397" s="35">
        <v>1274</v>
      </c>
      <c r="G397" s="35">
        <v>50</v>
      </c>
      <c r="H397" s="43">
        <v>600</v>
      </c>
      <c r="I397" s="35">
        <v>695</v>
      </c>
      <c r="J397" s="35">
        <v>0</v>
      </c>
      <c r="K397" s="36"/>
      <c r="L397" s="36"/>
      <c r="M397" s="36"/>
      <c r="N397" s="36"/>
      <c r="O397" s="36"/>
      <c r="P397" s="36"/>
      <c r="Q397" s="36"/>
      <c r="R397" s="36"/>
      <c r="S397" s="36"/>
      <c r="T397" s="36"/>
    </row>
    <row r="398" spans="1:20" ht="15.75">
      <c r="A398" s="13">
        <v>53631</v>
      </c>
      <c r="B398" s="44">
        <v>31</v>
      </c>
      <c r="C398" s="35">
        <v>131.881</v>
      </c>
      <c r="D398" s="35">
        <v>277.16699999999997</v>
      </c>
      <c r="E398" s="41">
        <v>829.952</v>
      </c>
      <c r="F398" s="35">
        <v>1239</v>
      </c>
      <c r="G398" s="35">
        <v>75</v>
      </c>
      <c r="H398" s="43">
        <v>600</v>
      </c>
      <c r="I398" s="35">
        <v>695</v>
      </c>
      <c r="J398" s="35">
        <v>0</v>
      </c>
      <c r="K398" s="36"/>
      <c r="L398" s="36"/>
      <c r="M398" s="36"/>
      <c r="N398" s="36"/>
      <c r="O398" s="36"/>
      <c r="P398" s="36"/>
      <c r="Q398" s="36"/>
      <c r="R398" s="36"/>
      <c r="S398" s="36"/>
      <c r="T398" s="36"/>
    </row>
    <row r="399" spans="1:20" ht="15.75">
      <c r="A399" s="13">
        <v>53661</v>
      </c>
      <c r="B399" s="44">
        <v>30</v>
      </c>
      <c r="C399" s="35">
        <v>122.58</v>
      </c>
      <c r="D399" s="35">
        <v>297.94099999999997</v>
      </c>
      <c r="E399" s="41">
        <v>729.47900000000004</v>
      </c>
      <c r="F399" s="35">
        <v>1150</v>
      </c>
      <c r="G399" s="35">
        <v>100</v>
      </c>
      <c r="H399" s="43">
        <v>600</v>
      </c>
      <c r="I399" s="35">
        <v>695</v>
      </c>
      <c r="J399" s="35">
        <v>50</v>
      </c>
      <c r="K399" s="36"/>
      <c r="L399" s="36"/>
      <c r="M399" s="36"/>
      <c r="N399" s="36"/>
      <c r="O399" s="36"/>
      <c r="P399" s="36"/>
      <c r="Q399" s="36"/>
      <c r="R399" s="36"/>
      <c r="S399" s="36"/>
      <c r="T399" s="36"/>
    </row>
    <row r="400" spans="1:20" ht="15.75">
      <c r="A400" s="13">
        <v>53692</v>
      </c>
      <c r="B400" s="44">
        <v>31</v>
      </c>
      <c r="C400" s="35">
        <v>122.58</v>
      </c>
      <c r="D400" s="35">
        <v>297.94099999999997</v>
      </c>
      <c r="E400" s="41">
        <v>729.47900000000004</v>
      </c>
      <c r="F400" s="35">
        <v>1150</v>
      </c>
      <c r="G400" s="35">
        <v>100</v>
      </c>
      <c r="H400" s="43">
        <v>600</v>
      </c>
      <c r="I400" s="35">
        <v>695</v>
      </c>
      <c r="J400" s="35">
        <v>50</v>
      </c>
      <c r="K400" s="36"/>
      <c r="L400" s="36"/>
      <c r="M400" s="36"/>
      <c r="N400" s="36"/>
      <c r="O400" s="36"/>
      <c r="P400" s="36"/>
      <c r="Q400" s="36"/>
      <c r="R400" s="36"/>
      <c r="S400" s="36"/>
      <c r="T400" s="36"/>
    </row>
    <row r="401" spans="1:20" ht="15.75">
      <c r="A401" s="13">
        <v>53723</v>
      </c>
      <c r="B401" s="44">
        <v>31</v>
      </c>
      <c r="C401" s="35">
        <v>122.58</v>
      </c>
      <c r="D401" s="35">
        <v>297.94099999999997</v>
      </c>
      <c r="E401" s="41">
        <v>729.47900000000004</v>
      </c>
      <c r="F401" s="35">
        <v>1150</v>
      </c>
      <c r="G401" s="35">
        <v>100</v>
      </c>
      <c r="H401" s="43">
        <v>600</v>
      </c>
      <c r="I401" s="35">
        <v>695</v>
      </c>
      <c r="J401" s="35">
        <v>50</v>
      </c>
      <c r="K401" s="36"/>
      <c r="L401" s="36"/>
      <c r="M401" s="36"/>
      <c r="N401" s="36"/>
      <c r="O401" s="36"/>
      <c r="P401" s="36"/>
      <c r="Q401" s="36"/>
      <c r="R401" s="36"/>
      <c r="S401" s="36"/>
      <c r="T401" s="36"/>
    </row>
    <row r="402" spans="1:20" ht="15.75">
      <c r="A402" s="13">
        <v>53751</v>
      </c>
      <c r="B402" s="44">
        <v>28</v>
      </c>
      <c r="C402" s="35">
        <v>122.58</v>
      </c>
      <c r="D402" s="35">
        <v>297.94099999999997</v>
      </c>
      <c r="E402" s="41">
        <v>729.47900000000004</v>
      </c>
      <c r="F402" s="35">
        <v>1150</v>
      </c>
      <c r="G402" s="35">
        <v>100</v>
      </c>
      <c r="H402" s="43">
        <v>600</v>
      </c>
      <c r="I402" s="35">
        <v>695</v>
      </c>
      <c r="J402" s="35">
        <v>50</v>
      </c>
      <c r="K402" s="36"/>
      <c r="L402" s="36"/>
      <c r="M402" s="36"/>
      <c r="N402" s="36"/>
      <c r="O402" s="36"/>
      <c r="P402" s="36"/>
      <c r="Q402" s="36"/>
      <c r="R402" s="36"/>
      <c r="S402" s="36"/>
      <c r="T402" s="36"/>
    </row>
    <row r="403" spans="1:20" ht="15.75">
      <c r="A403" s="13">
        <v>53782</v>
      </c>
      <c r="B403" s="44">
        <v>31</v>
      </c>
      <c r="C403" s="35">
        <v>122.58</v>
      </c>
      <c r="D403" s="35">
        <v>297.94099999999997</v>
      </c>
      <c r="E403" s="41">
        <v>729.47900000000004</v>
      </c>
      <c r="F403" s="35">
        <v>1150</v>
      </c>
      <c r="G403" s="35">
        <v>100</v>
      </c>
      <c r="H403" s="43">
        <v>600</v>
      </c>
      <c r="I403" s="35">
        <v>695</v>
      </c>
      <c r="J403" s="35">
        <v>50</v>
      </c>
      <c r="K403" s="36"/>
      <c r="L403" s="36"/>
      <c r="M403" s="36"/>
      <c r="N403" s="36"/>
      <c r="O403" s="36"/>
      <c r="P403" s="36"/>
      <c r="Q403" s="36"/>
      <c r="R403" s="36"/>
      <c r="S403" s="36"/>
      <c r="T403" s="36"/>
    </row>
    <row r="404" spans="1:20" ht="15.75">
      <c r="A404" s="13">
        <v>53812</v>
      </c>
      <c r="B404" s="44">
        <v>30</v>
      </c>
      <c r="C404" s="35">
        <v>141.29300000000001</v>
      </c>
      <c r="D404" s="35">
        <v>267.99299999999999</v>
      </c>
      <c r="E404" s="41">
        <v>829.71400000000006</v>
      </c>
      <c r="F404" s="35">
        <v>1239</v>
      </c>
      <c r="G404" s="35">
        <v>100</v>
      </c>
      <c r="H404" s="43">
        <v>600</v>
      </c>
      <c r="I404" s="35">
        <v>695</v>
      </c>
      <c r="J404" s="35">
        <v>50</v>
      </c>
      <c r="K404" s="36"/>
      <c r="L404" s="36"/>
      <c r="M404" s="36"/>
      <c r="N404" s="36"/>
      <c r="O404" s="36"/>
      <c r="P404" s="36"/>
      <c r="Q404" s="36"/>
      <c r="R404" s="36"/>
      <c r="S404" s="36"/>
      <c r="T404" s="36"/>
    </row>
    <row r="405" spans="1:20" ht="15.75">
      <c r="A405" s="13">
        <v>53843</v>
      </c>
      <c r="B405" s="44">
        <v>31</v>
      </c>
      <c r="C405" s="35">
        <v>194.20500000000001</v>
      </c>
      <c r="D405" s="35">
        <v>267.46600000000001</v>
      </c>
      <c r="E405" s="41">
        <v>812.32899999999995</v>
      </c>
      <c r="F405" s="35">
        <v>1274</v>
      </c>
      <c r="G405" s="35">
        <v>75</v>
      </c>
      <c r="H405" s="43">
        <v>600</v>
      </c>
      <c r="I405" s="35">
        <v>695</v>
      </c>
      <c r="J405" s="35">
        <v>50</v>
      </c>
      <c r="K405" s="36"/>
      <c r="L405" s="36"/>
      <c r="M405" s="36"/>
      <c r="N405" s="36"/>
      <c r="O405" s="36"/>
      <c r="P405" s="36"/>
      <c r="Q405" s="36"/>
      <c r="R405" s="36"/>
      <c r="S405" s="36"/>
      <c r="T405" s="36"/>
    </row>
    <row r="406" spans="1:20" ht="15.75">
      <c r="A406" s="13">
        <v>53873</v>
      </c>
      <c r="B406" s="44">
        <v>30</v>
      </c>
      <c r="C406" s="35">
        <v>194.20500000000001</v>
      </c>
      <c r="D406" s="35">
        <v>267.46600000000001</v>
      </c>
      <c r="E406" s="41">
        <v>812.32899999999995</v>
      </c>
      <c r="F406" s="35">
        <v>1274</v>
      </c>
      <c r="G406" s="35">
        <v>50</v>
      </c>
      <c r="H406" s="43">
        <v>600</v>
      </c>
      <c r="I406" s="35">
        <v>695</v>
      </c>
      <c r="J406" s="35">
        <v>50</v>
      </c>
      <c r="K406" s="36"/>
      <c r="L406" s="36"/>
      <c r="M406" s="36"/>
      <c r="N406" s="36"/>
      <c r="O406" s="36"/>
      <c r="P406" s="36"/>
      <c r="Q406" s="36"/>
      <c r="R406" s="36"/>
      <c r="S406" s="36"/>
      <c r="T406" s="36"/>
    </row>
    <row r="407" spans="1:20" ht="15.75">
      <c r="A407" s="13">
        <v>53904</v>
      </c>
      <c r="B407" s="44">
        <v>31</v>
      </c>
      <c r="C407" s="35">
        <v>194.20500000000001</v>
      </c>
      <c r="D407" s="35">
        <v>267.46600000000001</v>
      </c>
      <c r="E407" s="41">
        <v>812.32899999999995</v>
      </c>
      <c r="F407" s="35">
        <v>1274</v>
      </c>
      <c r="G407" s="35">
        <v>50</v>
      </c>
      <c r="H407" s="43">
        <v>600</v>
      </c>
      <c r="I407" s="35">
        <v>695</v>
      </c>
      <c r="J407" s="35">
        <v>0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/>
    </row>
    <row r="408" spans="1:20" ht="15.75">
      <c r="A408" s="13">
        <v>53935</v>
      </c>
      <c r="B408" s="44">
        <v>31</v>
      </c>
      <c r="C408" s="35">
        <v>194.20500000000001</v>
      </c>
      <c r="D408" s="35">
        <v>267.46600000000001</v>
      </c>
      <c r="E408" s="41">
        <v>812.32899999999995</v>
      </c>
      <c r="F408" s="35">
        <v>1274</v>
      </c>
      <c r="G408" s="35">
        <v>50</v>
      </c>
      <c r="H408" s="43">
        <v>600</v>
      </c>
      <c r="I408" s="35">
        <v>695</v>
      </c>
      <c r="J408" s="35">
        <v>0</v>
      </c>
      <c r="K408" s="36"/>
      <c r="L408" s="36"/>
      <c r="M408" s="36"/>
      <c r="N408" s="36"/>
      <c r="O408" s="36"/>
      <c r="P408" s="36"/>
      <c r="Q408" s="36"/>
      <c r="R408" s="36"/>
      <c r="S408" s="36"/>
      <c r="T408" s="36"/>
    </row>
    <row r="409" spans="1:20" ht="15.75">
      <c r="A409" s="13">
        <v>53965</v>
      </c>
      <c r="B409" s="44">
        <v>30</v>
      </c>
      <c r="C409" s="35">
        <v>194.20500000000001</v>
      </c>
      <c r="D409" s="35">
        <v>267.46600000000001</v>
      </c>
      <c r="E409" s="41">
        <v>812.32899999999995</v>
      </c>
      <c r="F409" s="35">
        <v>1274</v>
      </c>
      <c r="G409" s="35">
        <v>50</v>
      </c>
      <c r="H409" s="43">
        <v>600</v>
      </c>
      <c r="I409" s="35">
        <v>695</v>
      </c>
      <c r="J409" s="35">
        <v>0</v>
      </c>
      <c r="K409" s="36"/>
      <c r="L409" s="36"/>
      <c r="M409" s="36"/>
      <c r="N409" s="36"/>
      <c r="O409" s="36"/>
      <c r="P409" s="36"/>
      <c r="Q409" s="36"/>
      <c r="R409" s="36"/>
      <c r="S409" s="36"/>
      <c r="T409" s="36"/>
    </row>
    <row r="410" spans="1:20" ht="15.75">
      <c r="A410" s="13">
        <v>53996</v>
      </c>
      <c r="B410" s="44">
        <v>31</v>
      </c>
      <c r="C410" s="35">
        <v>131.881</v>
      </c>
      <c r="D410" s="35">
        <v>277.16699999999997</v>
      </c>
      <c r="E410" s="41">
        <v>829.952</v>
      </c>
      <c r="F410" s="35">
        <v>1239</v>
      </c>
      <c r="G410" s="35">
        <v>75</v>
      </c>
      <c r="H410" s="43">
        <v>600</v>
      </c>
      <c r="I410" s="35">
        <v>695</v>
      </c>
      <c r="J410" s="35">
        <v>0</v>
      </c>
      <c r="K410" s="36"/>
      <c r="L410" s="36"/>
      <c r="M410" s="36"/>
      <c r="N410" s="36"/>
      <c r="O410" s="36"/>
      <c r="P410" s="36"/>
      <c r="Q410" s="36"/>
      <c r="R410" s="36"/>
      <c r="S410" s="36"/>
      <c r="T410" s="36"/>
    </row>
    <row r="411" spans="1:20" ht="15.75">
      <c r="A411" s="13">
        <v>54026</v>
      </c>
      <c r="B411" s="44">
        <v>30</v>
      </c>
      <c r="C411" s="35">
        <v>122.58</v>
      </c>
      <c r="D411" s="35">
        <v>297.94099999999997</v>
      </c>
      <c r="E411" s="41">
        <v>729.47900000000004</v>
      </c>
      <c r="F411" s="35">
        <v>1150</v>
      </c>
      <c r="G411" s="35">
        <v>100</v>
      </c>
      <c r="H411" s="43">
        <v>600</v>
      </c>
      <c r="I411" s="35">
        <v>695</v>
      </c>
      <c r="J411" s="35">
        <v>50</v>
      </c>
      <c r="K411" s="36"/>
      <c r="L411" s="36"/>
      <c r="M411" s="36"/>
      <c r="N411" s="36"/>
      <c r="O411" s="36"/>
      <c r="P411" s="36"/>
      <c r="Q411" s="36"/>
      <c r="R411" s="36"/>
      <c r="S411" s="36"/>
      <c r="T411" s="36"/>
    </row>
    <row r="412" spans="1:20" ht="15.75">
      <c r="A412" s="13">
        <v>54057</v>
      </c>
      <c r="B412" s="44">
        <v>31</v>
      </c>
      <c r="C412" s="35">
        <v>122.58</v>
      </c>
      <c r="D412" s="35">
        <v>297.94099999999997</v>
      </c>
      <c r="E412" s="41">
        <v>729.47900000000004</v>
      </c>
      <c r="F412" s="35">
        <v>1150</v>
      </c>
      <c r="G412" s="35">
        <v>100</v>
      </c>
      <c r="H412" s="43">
        <v>600</v>
      </c>
      <c r="I412" s="35">
        <v>695</v>
      </c>
      <c r="J412" s="35">
        <v>50</v>
      </c>
      <c r="K412" s="36"/>
      <c r="L412" s="36"/>
      <c r="M412" s="36"/>
      <c r="N412" s="36"/>
      <c r="O412" s="36"/>
      <c r="P412" s="36"/>
      <c r="Q412" s="36"/>
      <c r="R412" s="36"/>
      <c r="S412" s="36"/>
      <c r="T412" s="36"/>
    </row>
    <row r="413" spans="1:20" ht="15.75">
      <c r="A413" s="13">
        <v>54088</v>
      </c>
      <c r="B413" s="44">
        <v>31</v>
      </c>
      <c r="C413" s="35">
        <v>122.58</v>
      </c>
      <c r="D413" s="35">
        <v>297.94099999999997</v>
      </c>
      <c r="E413" s="41">
        <v>729.47900000000004</v>
      </c>
      <c r="F413" s="35">
        <v>1150</v>
      </c>
      <c r="G413" s="35">
        <v>100</v>
      </c>
      <c r="H413" s="43">
        <v>600</v>
      </c>
      <c r="I413" s="35">
        <v>695</v>
      </c>
      <c r="J413" s="35">
        <v>50</v>
      </c>
      <c r="K413" s="36"/>
      <c r="L413" s="36"/>
      <c r="M413" s="36"/>
      <c r="N413" s="36"/>
      <c r="O413" s="36"/>
      <c r="P413" s="36"/>
      <c r="Q413" s="36"/>
      <c r="R413" s="36"/>
      <c r="S413" s="36"/>
      <c r="T413" s="36"/>
    </row>
    <row r="414" spans="1:20" ht="15.75">
      <c r="A414" s="13">
        <v>54116</v>
      </c>
      <c r="B414" s="44">
        <v>29</v>
      </c>
      <c r="C414" s="35">
        <v>122.58</v>
      </c>
      <c r="D414" s="35">
        <v>297.94099999999997</v>
      </c>
      <c r="E414" s="41">
        <v>729.47900000000004</v>
      </c>
      <c r="F414" s="35">
        <v>1150</v>
      </c>
      <c r="G414" s="35">
        <v>100</v>
      </c>
      <c r="H414" s="43">
        <v>600</v>
      </c>
      <c r="I414" s="35">
        <v>695</v>
      </c>
      <c r="J414" s="35">
        <v>50</v>
      </c>
      <c r="K414" s="36"/>
      <c r="L414" s="36"/>
      <c r="M414" s="36"/>
      <c r="N414" s="36"/>
      <c r="O414" s="36"/>
      <c r="P414" s="36"/>
      <c r="Q414" s="36"/>
      <c r="R414" s="36"/>
      <c r="S414" s="36"/>
      <c r="T414" s="36"/>
    </row>
    <row r="415" spans="1:20" ht="15.75">
      <c r="A415" s="13">
        <v>54148</v>
      </c>
      <c r="B415" s="44">
        <v>31</v>
      </c>
      <c r="C415" s="35">
        <v>122.58</v>
      </c>
      <c r="D415" s="35">
        <v>297.94099999999997</v>
      </c>
      <c r="E415" s="41">
        <v>729.47900000000004</v>
      </c>
      <c r="F415" s="35">
        <v>1150</v>
      </c>
      <c r="G415" s="35">
        <v>100</v>
      </c>
      <c r="H415" s="43">
        <v>600</v>
      </c>
      <c r="I415" s="35">
        <v>695</v>
      </c>
      <c r="J415" s="35">
        <v>50</v>
      </c>
      <c r="K415" s="36"/>
      <c r="L415" s="36"/>
      <c r="M415" s="36"/>
      <c r="N415" s="36"/>
      <c r="O415" s="36"/>
      <c r="P415" s="36"/>
      <c r="Q415" s="36"/>
      <c r="R415" s="36"/>
      <c r="S415" s="36"/>
      <c r="T415" s="36"/>
    </row>
    <row r="416" spans="1:20" ht="15.75">
      <c r="A416" s="13">
        <v>54178</v>
      </c>
      <c r="B416" s="44">
        <v>30</v>
      </c>
      <c r="C416" s="35">
        <v>141.29300000000001</v>
      </c>
      <c r="D416" s="35">
        <v>267.99299999999999</v>
      </c>
      <c r="E416" s="41">
        <v>829.71400000000006</v>
      </c>
      <c r="F416" s="35">
        <v>1239</v>
      </c>
      <c r="G416" s="35">
        <v>100</v>
      </c>
      <c r="H416" s="43">
        <v>600</v>
      </c>
      <c r="I416" s="35">
        <v>695</v>
      </c>
      <c r="J416" s="35">
        <v>50</v>
      </c>
      <c r="K416" s="36"/>
      <c r="L416" s="36"/>
      <c r="M416" s="36"/>
      <c r="N416" s="36"/>
      <c r="O416" s="36"/>
      <c r="P416" s="36"/>
      <c r="Q416" s="36"/>
      <c r="R416" s="36"/>
      <c r="S416" s="36"/>
      <c r="T416" s="36"/>
    </row>
    <row r="417" spans="1:20" ht="15.75">
      <c r="A417" s="13">
        <v>54209</v>
      </c>
      <c r="B417" s="44">
        <v>31</v>
      </c>
      <c r="C417" s="35">
        <v>194.20500000000001</v>
      </c>
      <c r="D417" s="35">
        <v>267.46600000000001</v>
      </c>
      <c r="E417" s="41">
        <v>812.32899999999995</v>
      </c>
      <c r="F417" s="35">
        <v>1274</v>
      </c>
      <c r="G417" s="35">
        <v>75</v>
      </c>
      <c r="H417" s="43">
        <v>600</v>
      </c>
      <c r="I417" s="35">
        <v>695</v>
      </c>
      <c r="J417" s="35">
        <v>50</v>
      </c>
      <c r="K417" s="36"/>
      <c r="L417" s="36"/>
      <c r="M417" s="36"/>
      <c r="N417" s="36"/>
      <c r="O417" s="36"/>
      <c r="P417" s="36"/>
      <c r="Q417" s="36"/>
      <c r="R417" s="36"/>
      <c r="S417" s="36"/>
      <c r="T417" s="36"/>
    </row>
    <row r="418" spans="1:20" ht="15.75">
      <c r="A418" s="13">
        <v>54239</v>
      </c>
      <c r="B418" s="44">
        <v>30</v>
      </c>
      <c r="C418" s="35">
        <v>194.20500000000001</v>
      </c>
      <c r="D418" s="35">
        <v>267.46600000000001</v>
      </c>
      <c r="E418" s="41">
        <v>812.32899999999995</v>
      </c>
      <c r="F418" s="35">
        <v>1274</v>
      </c>
      <c r="G418" s="35">
        <v>50</v>
      </c>
      <c r="H418" s="43">
        <v>600</v>
      </c>
      <c r="I418" s="35">
        <v>695</v>
      </c>
      <c r="J418" s="35">
        <v>50</v>
      </c>
      <c r="K418" s="36"/>
      <c r="L418" s="36"/>
      <c r="M418" s="36"/>
      <c r="N418" s="36"/>
      <c r="O418" s="36"/>
      <c r="P418" s="36"/>
      <c r="Q418" s="36"/>
      <c r="R418" s="36"/>
      <c r="S418" s="36"/>
      <c r="T418" s="36"/>
    </row>
    <row r="419" spans="1:20" ht="15.75">
      <c r="A419" s="13">
        <v>54270</v>
      </c>
      <c r="B419" s="44">
        <v>31</v>
      </c>
      <c r="C419" s="35">
        <v>194.20500000000001</v>
      </c>
      <c r="D419" s="35">
        <v>267.46600000000001</v>
      </c>
      <c r="E419" s="41">
        <v>812.32899999999995</v>
      </c>
      <c r="F419" s="35">
        <v>1274</v>
      </c>
      <c r="G419" s="35">
        <v>50</v>
      </c>
      <c r="H419" s="43">
        <v>600</v>
      </c>
      <c r="I419" s="35">
        <v>695</v>
      </c>
      <c r="J419" s="35">
        <v>0</v>
      </c>
      <c r="K419" s="36"/>
      <c r="L419" s="36"/>
      <c r="M419" s="36"/>
      <c r="N419" s="36"/>
      <c r="O419" s="36"/>
      <c r="P419" s="36"/>
      <c r="Q419" s="36"/>
      <c r="R419" s="36"/>
      <c r="S419" s="36"/>
      <c r="T419" s="36"/>
    </row>
    <row r="420" spans="1:20" ht="15.75">
      <c r="A420" s="13">
        <v>54301</v>
      </c>
      <c r="B420" s="44">
        <v>31</v>
      </c>
      <c r="C420" s="35">
        <v>194.20500000000001</v>
      </c>
      <c r="D420" s="35">
        <v>267.46600000000001</v>
      </c>
      <c r="E420" s="41">
        <v>812.32899999999995</v>
      </c>
      <c r="F420" s="35">
        <v>1274</v>
      </c>
      <c r="G420" s="35">
        <v>50</v>
      </c>
      <c r="H420" s="43">
        <v>600</v>
      </c>
      <c r="I420" s="35">
        <v>695</v>
      </c>
      <c r="J420" s="35">
        <v>0</v>
      </c>
      <c r="K420" s="36"/>
      <c r="L420" s="36"/>
      <c r="M420" s="36"/>
      <c r="N420" s="36"/>
      <c r="O420" s="36"/>
      <c r="P420" s="36"/>
      <c r="Q420" s="36"/>
      <c r="R420" s="36"/>
      <c r="S420" s="36"/>
      <c r="T420" s="36"/>
    </row>
    <row r="421" spans="1:20" ht="15.75">
      <c r="A421" s="13">
        <v>54331</v>
      </c>
      <c r="B421" s="44">
        <v>30</v>
      </c>
      <c r="C421" s="35">
        <v>194.20500000000001</v>
      </c>
      <c r="D421" s="35">
        <v>267.46600000000001</v>
      </c>
      <c r="E421" s="41">
        <v>812.32899999999995</v>
      </c>
      <c r="F421" s="35">
        <v>1274</v>
      </c>
      <c r="G421" s="35">
        <v>50</v>
      </c>
      <c r="H421" s="43">
        <v>600</v>
      </c>
      <c r="I421" s="35">
        <v>695</v>
      </c>
      <c r="J421" s="35">
        <v>0</v>
      </c>
      <c r="K421" s="36"/>
      <c r="L421" s="36"/>
      <c r="M421" s="36"/>
      <c r="N421" s="36"/>
      <c r="O421" s="36"/>
      <c r="P421" s="36"/>
      <c r="Q421" s="36"/>
      <c r="R421" s="36"/>
      <c r="S421" s="36"/>
      <c r="T421" s="36"/>
    </row>
    <row r="422" spans="1:20" ht="15.75">
      <c r="A422" s="13">
        <v>54362</v>
      </c>
      <c r="B422" s="44">
        <v>31</v>
      </c>
      <c r="C422" s="35">
        <v>131.881</v>
      </c>
      <c r="D422" s="35">
        <v>277.16699999999997</v>
      </c>
      <c r="E422" s="41">
        <v>829.952</v>
      </c>
      <c r="F422" s="35">
        <v>1239</v>
      </c>
      <c r="G422" s="35">
        <v>75</v>
      </c>
      <c r="H422" s="43">
        <v>600</v>
      </c>
      <c r="I422" s="35">
        <v>695</v>
      </c>
      <c r="J422" s="35">
        <v>0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</row>
    <row r="423" spans="1:20" ht="15.75">
      <c r="A423" s="13">
        <v>54392</v>
      </c>
      <c r="B423" s="44">
        <v>30</v>
      </c>
      <c r="C423" s="35">
        <v>122.58</v>
      </c>
      <c r="D423" s="35">
        <v>297.94099999999997</v>
      </c>
      <c r="E423" s="41">
        <v>729.47900000000004</v>
      </c>
      <c r="F423" s="35">
        <v>1150</v>
      </c>
      <c r="G423" s="35">
        <v>100</v>
      </c>
      <c r="H423" s="43">
        <v>600</v>
      </c>
      <c r="I423" s="35">
        <v>695</v>
      </c>
      <c r="J423" s="35">
        <v>50</v>
      </c>
      <c r="K423" s="36"/>
      <c r="L423" s="36"/>
      <c r="M423" s="36"/>
      <c r="N423" s="36"/>
      <c r="O423" s="36"/>
      <c r="P423" s="36"/>
      <c r="Q423" s="36"/>
      <c r="R423" s="36"/>
      <c r="S423" s="36"/>
      <c r="T423" s="36"/>
    </row>
    <row r="424" spans="1:20" ht="15.75">
      <c r="A424" s="13">
        <v>54423</v>
      </c>
      <c r="B424" s="44">
        <v>31</v>
      </c>
      <c r="C424" s="35">
        <v>122.58</v>
      </c>
      <c r="D424" s="35">
        <v>297.94099999999997</v>
      </c>
      <c r="E424" s="41">
        <v>729.47900000000004</v>
      </c>
      <c r="F424" s="35">
        <v>1150</v>
      </c>
      <c r="G424" s="35">
        <v>100</v>
      </c>
      <c r="H424" s="43">
        <v>600</v>
      </c>
      <c r="I424" s="35">
        <v>695</v>
      </c>
      <c r="J424" s="35">
        <v>50</v>
      </c>
      <c r="K424" s="36"/>
      <c r="L424" s="36"/>
      <c r="M424" s="36"/>
      <c r="N424" s="36"/>
      <c r="O424" s="36"/>
      <c r="P424" s="36"/>
      <c r="Q424" s="36"/>
      <c r="R424" s="36"/>
      <c r="S424" s="36"/>
      <c r="T424" s="36"/>
    </row>
    <row r="425" spans="1:20" ht="15.75">
      <c r="A425" s="13">
        <v>54454</v>
      </c>
      <c r="B425" s="44">
        <v>31</v>
      </c>
      <c r="C425" s="35">
        <v>122.58</v>
      </c>
      <c r="D425" s="35">
        <v>297.94099999999997</v>
      </c>
      <c r="E425" s="41">
        <v>729.47900000000004</v>
      </c>
      <c r="F425" s="35">
        <v>1150</v>
      </c>
      <c r="G425" s="35">
        <v>100</v>
      </c>
      <c r="H425" s="43">
        <v>600</v>
      </c>
      <c r="I425" s="35">
        <v>695</v>
      </c>
      <c r="J425" s="35">
        <v>50</v>
      </c>
      <c r="K425" s="36"/>
      <c r="L425" s="36"/>
      <c r="M425" s="36"/>
      <c r="N425" s="36"/>
      <c r="O425" s="36"/>
      <c r="P425" s="36"/>
      <c r="Q425" s="36"/>
      <c r="R425" s="36"/>
      <c r="S425" s="36"/>
      <c r="T425" s="36"/>
    </row>
    <row r="426" spans="1:20" ht="15.75">
      <c r="A426" s="13">
        <v>54482</v>
      </c>
      <c r="B426" s="44">
        <v>28</v>
      </c>
      <c r="C426" s="35">
        <v>122.58</v>
      </c>
      <c r="D426" s="35">
        <v>297.94099999999997</v>
      </c>
      <c r="E426" s="41">
        <v>729.47900000000004</v>
      </c>
      <c r="F426" s="35">
        <v>1150</v>
      </c>
      <c r="G426" s="35">
        <v>100</v>
      </c>
      <c r="H426" s="43">
        <v>600</v>
      </c>
      <c r="I426" s="35">
        <v>695</v>
      </c>
      <c r="J426" s="35">
        <v>50</v>
      </c>
      <c r="K426" s="36"/>
      <c r="L426" s="36"/>
      <c r="M426" s="36"/>
      <c r="N426" s="36"/>
      <c r="O426" s="36"/>
      <c r="P426" s="36"/>
      <c r="Q426" s="36"/>
      <c r="R426" s="36"/>
      <c r="S426" s="36"/>
      <c r="T426" s="36"/>
    </row>
    <row r="427" spans="1:20" ht="15.75">
      <c r="A427" s="13">
        <v>54513</v>
      </c>
      <c r="B427" s="44">
        <v>31</v>
      </c>
      <c r="C427" s="35">
        <v>122.58</v>
      </c>
      <c r="D427" s="35">
        <v>297.94099999999997</v>
      </c>
      <c r="E427" s="41">
        <v>729.47900000000004</v>
      </c>
      <c r="F427" s="35">
        <v>1150</v>
      </c>
      <c r="G427" s="35">
        <v>100</v>
      </c>
      <c r="H427" s="43">
        <v>600</v>
      </c>
      <c r="I427" s="35">
        <v>695</v>
      </c>
      <c r="J427" s="35">
        <v>50</v>
      </c>
      <c r="K427" s="36"/>
      <c r="L427" s="36"/>
      <c r="M427" s="36"/>
      <c r="N427" s="36"/>
      <c r="O427" s="36"/>
      <c r="P427" s="36"/>
      <c r="Q427" s="36"/>
      <c r="R427" s="36"/>
      <c r="S427" s="36"/>
      <c r="T427" s="36"/>
    </row>
    <row r="428" spans="1:20" ht="15.75">
      <c r="A428" s="13">
        <v>54543</v>
      </c>
      <c r="B428" s="44">
        <v>30</v>
      </c>
      <c r="C428" s="35">
        <v>141.29300000000001</v>
      </c>
      <c r="D428" s="35">
        <v>267.99299999999999</v>
      </c>
      <c r="E428" s="41">
        <v>829.71400000000006</v>
      </c>
      <c r="F428" s="35">
        <v>1239</v>
      </c>
      <c r="G428" s="35">
        <v>100</v>
      </c>
      <c r="H428" s="43">
        <v>600</v>
      </c>
      <c r="I428" s="35">
        <v>695</v>
      </c>
      <c r="J428" s="35">
        <v>50</v>
      </c>
      <c r="K428" s="36"/>
      <c r="L428" s="36"/>
      <c r="M428" s="36"/>
      <c r="N428" s="36"/>
      <c r="O428" s="36"/>
      <c r="P428" s="36"/>
      <c r="Q428" s="36"/>
      <c r="R428" s="36"/>
      <c r="S428" s="36"/>
      <c r="T428" s="36"/>
    </row>
    <row r="429" spans="1:20" ht="15.75">
      <c r="A429" s="13">
        <v>54574</v>
      </c>
      <c r="B429" s="44">
        <v>31</v>
      </c>
      <c r="C429" s="35">
        <v>194.20500000000001</v>
      </c>
      <c r="D429" s="35">
        <v>267.46600000000001</v>
      </c>
      <c r="E429" s="41">
        <v>812.32899999999995</v>
      </c>
      <c r="F429" s="35">
        <v>1274</v>
      </c>
      <c r="G429" s="35">
        <v>75</v>
      </c>
      <c r="H429" s="43">
        <v>600</v>
      </c>
      <c r="I429" s="35">
        <v>695</v>
      </c>
      <c r="J429" s="35">
        <v>50</v>
      </c>
      <c r="K429" s="36"/>
      <c r="L429" s="36"/>
      <c r="M429" s="36"/>
      <c r="N429" s="36"/>
      <c r="O429" s="36"/>
      <c r="P429" s="36"/>
      <c r="Q429" s="36"/>
      <c r="R429" s="36"/>
      <c r="S429" s="36"/>
      <c r="T429" s="36"/>
    </row>
    <row r="430" spans="1:20" ht="15.75">
      <c r="A430" s="13">
        <v>54604</v>
      </c>
      <c r="B430" s="44">
        <v>30</v>
      </c>
      <c r="C430" s="35">
        <v>194.20500000000001</v>
      </c>
      <c r="D430" s="35">
        <v>267.46600000000001</v>
      </c>
      <c r="E430" s="41">
        <v>812.32899999999995</v>
      </c>
      <c r="F430" s="35">
        <v>1274</v>
      </c>
      <c r="G430" s="35">
        <v>50</v>
      </c>
      <c r="H430" s="43">
        <v>600</v>
      </c>
      <c r="I430" s="35">
        <v>695</v>
      </c>
      <c r="J430" s="35">
        <v>50</v>
      </c>
      <c r="K430" s="36"/>
      <c r="L430" s="36"/>
      <c r="M430" s="36"/>
      <c r="N430" s="36"/>
      <c r="O430" s="36"/>
      <c r="P430" s="36"/>
      <c r="Q430" s="36"/>
      <c r="R430" s="36"/>
      <c r="S430" s="36"/>
      <c r="T430" s="36"/>
    </row>
    <row r="431" spans="1:20" ht="15.75">
      <c r="A431" s="13">
        <v>54635</v>
      </c>
      <c r="B431" s="44">
        <v>31</v>
      </c>
      <c r="C431" s="35">
        <v>194.20500000000001</v>
      </c>
      <c r="D431" s="35">
        <v>267.46600000000001</v>
      </c>
      <c r="E431" s="41">
        <v>812.32899999999995</v>
      </c>
      <c r="F431" s="35">
        <v>1274</v>
      </c>
      <c r="G431" s="35">
        <v>50</v>
      </c>
      <c r="H431" s="43">
        <v>600</v>
      </c>
      <c r="I431" s="35">
        <v>695</v>
      </c>
      <c r="J431" s="35">
        <v>0</v>
      </c>
      <c r="K431" s="36"/>
      <c r="L431" s="36"/>
      <c r="M431" s="36"/>
      <c r="N431" s="36"/>
      <c r="O431" s="36"/>
      <c r="P431" s="36"/>
      <c r="Q431" s="36"/>
      <c r="R431" s="36"/>
      <c r="S431" s="36"/>
      <c r="T431" s="36"/>
    </row>
    <row r="432" spans="1:20" ht="15.75">
      <c r="A432" s="13">
        <v>54666</v>
      </c>
      <c r="B432" s="44">
        <v>31</v>
      </c>
      <c r="C432" s="35">
        <v>194.20500000000001</v>
      </c>
      <c r="D432" s="35">
        <v>267.46600000000001</v>
      </c>
      <c r="E432" s="41">
        <v>812.32899999999995</v>
      </c>
      <c r="F432" s="35">
        <v>1274</v>
      </c>
      <c r="G432" s="35">
        <v>50</v>
      </c>
      <c r="H432" s="43">
        <v>600</v>
      </c>
      <c r="I432" s="35">
        <v>695</v>
      </c>
      <c r="J432" s="35">
        <v>0</v>
      </c>
      <c r="K432" s="36"/>
      <c r="L432" s="36"/>
      <c r="M432" s="36"/>
      <c r="N432" s="36"/>
      <c r="O432" s="36"/>
      <c r="P432" s="36"/>
      <c r="Q432" s="36"/>
      <c r="R432" s="36"/>
      <c r="S432" s="36"/>
      <c r="T432" s="36"/>
    </row>
    <row r="433" spans="1:20" ht="15.75">
      <c r="A433" s="13">
        <v>54696</v>
      </c>
      <c r="B433" s="44">
        <v>30</v>
      </c>
      <c r="C433" s="35">
        <v>194.20500000000001</v>
      </c>
      <c r="D433" s="35">
        <v>267.46600000000001</v>
      </c>
      <c r="E433" s="41">
        <v>812.32899999999995</v>
      </c>
      <c r="F433" s="35">
        <v>1274</v>
      </c>
      <c r="G433" s="35">
        <v>50</v>
      </c>
      <c r="H433" s="43">
        <v>600</v>
      </c>
      <c r="I433" s="35">
        <v>695</v>
      </c>
      <c r="J433" s="35">
        <v>0</v>
      </c>
      <c r="K433" s="36"/>
      <c r="L433" s="36"/>
      <c r="M433" s="36"/>
      <c r="N433" s="36"/>
      <c r="O433" s="36"/>
      <c r="P433" s="36"/>
      <c r="Q433" s="36"/>
      <c r="R433" s="36"/>
      <c r="S433" s="36"/>
      <c r="T433" s="36"/>
    </row>
    <row r="434" spans="1:20" ht="15.75">
      <c r="A434" s="13">
        <v>54727</v>
      </c>
      <c r="B434" s="44">
        <v>31</v>
      </c>
      <c r="C434" s="35">
        <v>131.881</v>
      </c>
      <c r="D434" s="35">
        <v>277.16699999999997</v>
      </c>
      <c r="E434" s="41">
        <v>829.952</v>
      </c>
      <c r="F434" s="35">
        <v>1239</v>
      </c>
      <c r="G434" s="35">
        <v>75</v>
      </c>
      <c r="H434" s="43">
        <v>600</v>
      </c>
      <c r="I434" s="35">
        <v>695</v>
      </c>
      <c r="J434" s="35">
        <v>0</v>
      </c>
      <c r="K434" s="36"/>
      <c r="L434" s="36"/>
      <c r="M434" s="36"/>
      <c r="N434" s="36"/>
      <c r="O434" s="36"/>
      <c r="P434" s="36"/>
      <c r="Q434" s="36"/>
      <c r="R434" s="36"/>
      <c r="S434" s="36"/>
      <c r="T434" s="36"/>
    </row>
    <row r="435" spans="1:20" ht="15.75">
      <c r="A435" s="13">
        <v>54757</v>
      </c>
      <c r="B435" s="44">
        <v>30</v>
      </c>
      <c r="C435" s="35">
        <v>122.58</v>
      </c>
      <c r="D435" s="35">
        <v>297.94099999999997</v>
      </c>
      <c r="E435" s="41">
        <v>729.47900000000004</v>
      </c>
      <c r="F435" s="35">
        <v>1150</v>
      </c>
      <c r="G435" s="35">
        <v>100</v>
      </c>
      <c r="H435" s="43">
        <v>600</v>
      </c>
      <c r="I435" s="35">
        <v>695</v>
      </c>
      <c r="J435" s="35">
        <v>50</v>
      </c>
      <c r="K435" s="36"/>
      <c r="L435" s="36"/>
      <c r="M435" s="36"/>
      <c r="N435" s="36"/>
      <c r="O435" s="36"/>
      <c r="P435" s="36"/>
      <c r="Q435" s="36"/>
      <c r="R435" s="36"/>
      <c r="S435" s="36"/>
      <c r="T435" s="36"/>
    </row>
    <row r="436" spans="1:20" ht="15.75">
      <c r="A436" s="13">
        <v>54788</v>
      </c>
      <c r="B436" s="44">
        <v>31</v>
      </c>
      <c r="C436" s="35">
        <v>122.58</v>
      </c>
      <c r="D436" s="35">
        <v>297.94099999999997</v>
      </c>
      <c r="E436" s="41">
        <v>729.47900000000004</v>
      </c>
      <c r="F436" s="35">
        <v>1150</v>
      </c>
      <c r="G436" s="35">
        <v>100</v>
      </c>
      <c r="H436" s="43">
        <v>600</v>
      </c>
      <c r="I436" s="35">
        <v>695</v>
      </c>
      <c r="J436" s="35">
        <v>50</v>
      </c>
      <c r="K436" s="36"/>
      <c r="L436" s="36"/>
      <c r="M436" s="36"/>
      <c r="N436" s="36"/>
      <c r="O436" s="36"/>
      <c r="P436" s="36"/>
      <c r="Q436" s="36"/>
      <c r="R436" s="36"/>
      <c r="S436" s="36"/>
      <c r="T436" s="36"/>
    </row>
    <row r="437" spans="1:20" ht="15.75">
      <c r="A437" s="13">
        <v>54819</v>
      </c>
      <c r="B437" s="44">
        <v>31</v>
      </c>
      <c r="C437" s="35">
        <v>122.58</v>
      </c>
      <c r="D437" s="35">
        <v>297.94099999999997</v>
      </c>
      <c r="E437" s="41">
        <v>729.47900000000004</v>
      </c>
      <c r="F437" s="35">
        <v>1150</v>
      </c>
      <c r="G437" s="35">
        <v>100</v>
      </c>
      <c r="H437" s="43">
        <v>600</v>
      </c>
      <c r="I437" s="35">
        <v>695</v>
      </c>
      <c r="J437" s="35">
        <v>50</v>
      </c>
      <c r="K437" s="36"/>
      <c r="L437" s="36"/>
      <c r="M437" s="36"/>
      <c r="N437" s="36"/>
      <c r="O437" s="36"/>
      <c r="P437" s="36"/>
      <c r="Q437" s="36"/>
      <c r="R437" s="36"/>
      <c r="S437" s="36"/>
      <c r="T437" s="36"/>
    </row>
    <row r="438" spans="1:20" ht="15.75">
      <c r="A438" s="13">
        <v>54847</v>
      </c>
      <c r="B438" s="44">
        <v>28</v>
      </c>
      <c r="C438" s="35">
        <v>122.58</v>
      </c>
      <c r="D438" s="35">
        <v>297.94099999999997</v>
      </c>
      <c r="E438" s="41">
        <v>729.47900000000004</v>
      </c>
      <c r="F438" s="35">
        <v>1150</v>
      </c>
      <c r="G438" s="35">
        <v>100</v>
      </c>
      <c r="H438" s="43">
        <v>600</v>
      </c>
      <c r="I438" s="35">
        <v>695</v>
      </c>
      <c r="J438" s="35">
        <v>50</v>
      </c>
      <c r="K438" s="36"/>
      <c r="L438" s="36"/>
      <c r="M438" s="36"/>
      <c r="N438" s="36"/>
      <c r="O438" s="36"/>
      <c r="P438" s="36"/>
      <c r="Q438" s="36"/>
      <c r="R438" s="36"/>
      <c r="S438" s="36"/>
      <c r="T438" s="36"/>
    </row>
    <row r="439" spans="1:20" ht="15.75">
      <c r="A439" s="13">
        <v>54878</v>
      </c>
      <c r="B439" s="44">
        <v>31</v>
      </c>
      <c r="C439" s="35">
        <v>122.58</v>
      </c>
      <c r="D439" s="35">
        <v>297.94099999999997</v>
      </c>
      <c r="E439" s="41">
        <v>729.47900000000004</v>
      </c>
      <c r="F439" s="35">
        <v>1150</v>
      </c>
      <c r="G439" s="35">
        <v>100</v>
      </c>
      <c r="H439" s="43">
        <v>600</v>
      </c>
      <c r="I439" s="35">
        <v>695</v>
      </c>
      <c r="J439" s="35">
        <v>50</v>
      </c>
      <c r="K439" s="36"/>
      <c r="L439" s="36"/>
      <c r="M439" s="36"/>
      <c r="N439" s="36"/>
      <c r="O439" s="36"/>
      <c r="P439" s="36"/>
      <c r="Q439" s="36"/>
      <c r="R439" s="36"/>
      <c r="S439" s="36"/>
      <c r="T439" s="36"/>
    </row>
    <row r="440" spans="1:20" ht="15.75">
      <c r="A440" s="13">
        <v>54908</v>
      </c>
      <c r="B440" s="44">
        <v>30</v>
      </c>
      <c r="C440" s="35">
        <v>141.29300000000001</v>
      </c>
      <c r="D440" s="35">
        <v>267.99299999999999</v>
      </c>
      <c r="E440" s="41">
        <v>829.71400000000006</v>
      </c>
      <c r="F440" s="35">
        <v>1239</v>
      </c>
      <c r="G440" s="35">
        <v>100</v>
      </c>
      <c r="H440" s="43">
        <v>600</v>
      </c>
      <c r="I440" s="35">
        <v>695</v>
      </c>
      <c r="J440" s="35">
        <v>50</v>
      </c>
      <c r="K440" s="36"/>
      <c r="L440" s="36"/>
      <c r="M440" s="36"/>
      <c r="N440" s="36"/>
      <c r="O440" s="36"/>
      <c r="P440" s="36"/>
      <c r="Q440" s="36"/>
      <c r="R440" s="36"/>
      <c r="S440" s="36"/>
      <c r="T440" s="36"/>
    </row>
    <row r="441" spans="1:20" ht="15.75">
      <c r="A441" s="13">
        <v>54939</v>
      </c>
      <c r="B441" s="44">
        <v>31</v>
      </c>
      <c r="C441" s="35">
        <v>194.20500000000001</v>
      </c>
      <c r="D441" s="35">
        <v>267.46600000000001</v>
      </c>
      <c r="E441" s="41">
        <v>812.32899999999995</v>
      </c>
      <c r="F441" s="35">
        <v>1274</v>
      </c>
      <c r="G441" s="35">
        <v>75</v>
      </c>
      <c r="H441" s="43">
        <v>600</v>
      </c>
      <c r="I441" s="35">
        <v>695</v>
      </c>
      <c r="J441" s="35">
        <v>50</v>
      </c>
      <c r="K441" s="36"/>
      <c r="L441" s="36"/>
      <c r="M441" s="36"/>
      <c r="N441" s="36"/>
      <c r="O441" s="36"/>
      <c r="P441" s="36"/>
      <c r="Q441" s="36"/>
      <c r="R441" s="36"/>
      <c r="S441" s="36"/>
      <c r="T441" s="36"/>
    </row>
    <row r="442" spans="1:20" ht="15.75">
      <c r="A442" s="13">
        <v>54969</v>
      </c>
      <c r="B442" s="44">
        <v>30</v>
      </c>
      <c r="C442" s="35">
        <v>194.20500000000001</v>
      </c>
      <c r="D442" s="35">
        <v>267.46600000000001</v>
      </c>
      <c r="E442" s="41">
        <v>812.32899999999995</v>
      </c>
      <c r="F442" s="35">
        <v>1274</v>
      </c>
      <c r="G442" s="35">
        <v>50</v>
      </c>
      <c r="H442" s="43">
        <v>600</v>
      </c>
      <c r="I442" s="35">
        <v>695</v>
      </c>
      <c r="J442" s="35">
        <v>50</v>
      </c>
      <c r="K442" s="36"/>
      <c r="L442" s="36"/>
      <c r="M442" s="36"/>
      <c r="N442" s="36"/>
      <c r="O442" s="36"/>
      <c r="P442" s="36"/>
      <c r="Q442" s="36"/>
      <c r="R442" s="36"/>
      <c r="S442" s="36"/>
      <c r="T442" s="36"/>
    </row>
    <row r="443" spans="1:20" ht="15.75">
      <c r="A443" s="13">
        <v>55000</v>
      </c>
      <c r="B443" s="44">
        <v>31</v>
      </c>
      <c r="C443" s="35">
        <v>194.20500000000001</v>
      </c>
      <c r="D443" s="35">
        <v>267.46600000000001</v>
      </c>
      <c r="E443" s="41">
        <v>812.32899999999995</v>
      </c>
      <c r="F443" s="35">
        <v>1274</v>
      </c>
      <c r="G443" s="35">
        <v>50</v>
      </c>
      <c r="H443" s="43">
        <v>600</v>
      </c>
      <c r="I443" s="35">
        <v>695</v>
      </c>
      <c r="J443" s="35">
        <v>0</v>
      </c>
      <c r="K443" s="36"/>
      <c r="L443" s="36"/>
      <c r="M443" s="36"/>
      <c r="N443" s="36"/>
      <c r="O443" s="36"/>
      <c r="P443" s="36"/>
      <c r="Q443" s="36"/>
      <c r="R443" s="36"/>
      <c r="S443" s="36"/>
      <c r="T443" s="36"/>
    </row>
    <row r="444" spans="1:20" ht="15.75">
      <c r="A444" s="13">
        <v>55031</v>
      </c>
      <c r="B444" s="44">
        <v>31</v>
      </c>
      <c r="C444" s="35">
        <v>194.20500000000001</v>
      </c>
      <c r="D444" s="35">
        <v>267.46600000000001</v>
      </c>
      <c r="E444" s="41">
        <v>812.32899999999995</v>
      </c>
      <c r="F444" s="35">
        <v>1274</v>
      </c>
      <c r="G444" s="35">
        <v>50</v>
      </c>
      <c r="H444" s="43">
        <v>600</v>
      </c>
      <c r="I444" s="35">
        <v>695</v>
      </c>
      <c r="J444" s="35">
        <v>0</v>
      </c>
      <c r="K444" s="36"/>
      <c r="L444" s="36"/>
      <c r="M444" s="36"/>
      <c r="N444" s="36"/>
      <c r="O444" s="36"/>
      <c r="P444" s="36"/>
      <c r="Q444" s="36"/>
      <c r="R444" s="36"/>
      <c r="S444" s="36"/>
      <c r="T444" s="36"/>
    </row>
    <row r="445" spans="1:20" ht="15.75">
      <c r="A445" s="13">
        <v>55061</v>
      </c>
      <c r="B445" s="44">
        <v>30</v>
      </c>
      <c r="C445" s="35">
        <v>194.20500000000001</v>
      </c>
      <c r="D445" s="35">
        <v>267.46600000000001</v>
      </c>
      <c r="E445" s="41">
        <v>812.32899999999995</v>
      </c>
      <c r="F445" s="35">
        <v>1274</v>
      </c>
      <c r="G445" s="35">
        <v>50</v>
      </c>
      <c r="H445" s="43">
        <v>600</v>
      </c>
      <c r="I445" s="35">
        <v>695</v>
      </c>
      <c r="J445" s="35">
        <v>0</v>
      </c>
      <c r="K445" s="36"/>
      <c r="L445" s="36"/>
      <c r="M445" s="36"/>
      <c r="N445" s="36"/>
      <c r="O445" s="36"/>
      <c r="P445" s="36"/>
      <c r="Q445" s="36"/>
      <c r="R445" s="36"/>
      <c r="S445" s="36"/>
      <c r="T445" s="36"/>
    </row>
    <row r="446" spans="1:20" ht="15.75">
      <c r="A446" s="13">
        <v>55092</v>
      </c>
      <c r="B446" s="44">
        <v>31</v>
      </c>
      <c r="C446" s="35">
        <v>131.881</v>
      </c>
      <c r="D446" s="35">
        <v>277.16699999999997</v>
      </c>
      <c r="E446" s="41">
        <v>829.952</v>
      </c>
      <c r="F446" s="35">
        <v>1239</v>
      </c>
      <c r="G446" s="35">
        <v>75</v>
      </c>
      <c r="H446" s="43">
        <v>600</v>
      </c>
      <c r="I446" s="35">
        <v>695</v>
      </c>
      <c r="J446" s="35">
        <v>0</v>
      </c>
      <c r="K446" s="36"/>
      <c r="L446" s="36"/>
      <c r="M446" s="36"/>
      <c r="N446" s="36"/>
      <c r="O446" s="36"/>
      <c r="P446" s="36"/>
      <c r="Q446" s="36"/>
      <c r="R446" s="36"/>
      <c r="S446" s="36"/>
      <c r="T446" s="36"/>
    </row>
    <row r="447" spans="1:20" ht="15.75">
      <c r="A447" s="13">
        <v>55122</v>
      </c>
      <c r="B447" s="44">
        <v>30</v>
      </c>
      <c r="C447" s="35">
        <v>122.58</v>
      </c>
      <c r="D447" s="35">
        <v>297.94099999999997</v>
      </c>
      <c r="E447" s="41">
        <v>729.47900000000004</v>
      </c>
      <c r="F447" s="35">
        <v>1150</v>
      </c>
      <c r="G447" s="35">
        <v>100</v>
      </c>
      <c r="H447" s="43">
        <v>600</v>
      </c>
      <c r="I447" s="35">
        <v>695</v>
      </c>
      <c r="J447" s="35">
        <v>50</v>
      </c>
      <c r="K447" s="36"/>
      <c r="L447" s="36"/>
      <c r="M447" s="36"/>
      <c r="N447" s="36"/>
      <c r="O447" s="36"/>
      <c r="P447" s="36"/>
      <c r="Q447" s="36"/>
      <c r="R447" s="36"/>
      <c r="S447" s="36"/>
      <c r="T447" s="36"/>
    </row>
    <row r="448" spans="1:20" ht="15.75">
      <c r="A448" s="13">
        <v>55153</v>
      </c>
      <c r="B448" s="44">
        <v>31</v>
      </c>
      <c r="C448" s="35">
        <v>122.58</v>
      </c>
      <c r="D448" s="35">
        <v>297.94099999999997</v>
      </c>
      <c r="E448" s="41">
        <v>729.47900000000004</v>
      </c>
      <c r="F448" s="35">
        <v>1150</v>
      </c>
      <c r="G448" s="35">
        <v>100</v>
      </c>
      <c r="H448" s="43">
        <v>600</v>
      </c>
      <c r="I448" s="35">
        <v>695</v>
      </c>
      <c r="J448" s="35">
        <v>50</v>
      </c>
      <c r="K448" s="36"/>
      <c r="L448" s="36"/>
      <c r="M448" s="36"/>
      <c r="N448" s="36"/>
      <c r="O448" s="36"/>
      <c r="P448" s="36"/>
      <c r="Q448" s="36"/>
      <c r="R448" s="36"/>
      <c r="S448" s="36"/>
      <c r="T448" s="36"/>
    </row>
    <row r="449" spans="1:20" ht="15.75">
      <c r="A449" s="13">
        <v>55184</v>
      </c>
      <c r="B449" s="44">
        <v>31</v>
      </c>
      <c r="C449" s="35">
        <v>122.58</v>
      </c>
      <c r="D449" s="35">
        <v>297.94099999999997</v>
      </c>
      <c r="E449" s="41">
        <v>729.47900000000004</v>
      </c>
      <c r="F449" s="35">
        <v>1150</v>
      </c>
      <c r="G449" s="35">
        <v>100</v>
      </c>
      <c r="H449" s="43">
        <v>600</v>
      </c>
      <c r="I449" s="35">
        <v>695</v>
      </c>
      <c r="J449" s="35">
        <v>50</v>
      </c>
      <c r="K449" s="36"/>
      <c r="L449" s="36"/>
      <c r="M449" s="36"/>
      <c r="N449" s="36"/>
      <c r="O449" s="36"/>
      <c r="P449" s="36"/>
      <c r="Q449" s="36"/>
      <c r="R449" s="36"/>
      <c r="S449" s="36"/>
      <c r="T449" s="36"/>
    </row>
    <row r="450" spans="1:20" ht="15.75">
      <c r="A450" s="13">
        <v>55212</v>
      </c>
      <c r="B450" s="44">
        <v>28</v>
      </c>
      <c r="C450" s="35">
        <v>122.58</v>
      </c>
      <c r="D450" s="35">
        <v>297.94099999999997</v>
      </c>
      <c r="E450" s="41">
        <v>729.47900000000004</v>
      </c>
      <c r="F450" s="35">
        <v>1150</v>
      </c>
      <c r="G450" s="35">
        <v>100</v>
      </c>
      <c r="H450" s="43">
        <v>600</v>
      </c>
      <c r="I450" s="35">
        <v>695</v>
      </c>
      <c r="J450" s="35">
        <v>50</v>
      </c>
      <c r="K450" s="36"/>
      <c r="L450" s="36"/>
      <c r="M450" s="36"/>
      <c r="N450" s="36"/>
      <c r="O450" s="36"/>
      <c r="P450" s="36"/>
      <c r="Q450" s="36"/>
      <c r="R450" s="36"/>
      <c r="S450" s="36"/>
      <c r="T450" s="36"/>
    </row>
    <row r="451" spans="1:20" ht="15.75">
      <c r="A451" s="13">
        <v>55243</v>
      </c>
      <c r="B451" s="44">
        <v>31</v>
      </c>
      <c r="C451" s="35">
        <v>122.58</v>
      </c>
      <c r="D451" s="35">
        <v>297.94099999999997</v>
      </c>
      <c r="E451" s="41">
        <v>729.47900000000004</v>
      </c>
      <c r="F451" s="35">
        <v>1150</v>
      </c>
      <c r="G451" s="35">
        <v>100</v>
      </c>
      <c r="H451" s="43">
        <v>600</v>
      </c>
      <c r="I451" s="35">
        <v>695</v>
      </c>
      <c r="J451" s="35">
        <v>50</v>
      </c>
      <c r="K451" s="36"/>
      <c r="L451" s="36"/>
      <c r="M451" s="36"/>
      <c r="N451" s="36"/>
      <c r="O451" s="36"/>
      <c r="P451" s="36"/>
      <c r="Q451" s="36"/>
      <c r="R451" s="36"/>
      <c r="S451" s="36"/>
      <c r="T451" s="36"/>
    </row>
    <row r="452" spans="1:20" ht="15.75">
      <c r="A452" s="13">
        <v>55273</v>
      </c>
      <c r="B452" s="44">
        <v>30</v>
      </c>
      <c r="C452" s="35">
        <v>141.29300000000001</v>
      </c>
      <c r="D452" s="35">
        <v>267.99299999999999</v>
      </c>
      <c r="E452" s="41">
        <v>829.71400000000006</v>
      </c>
      <c r="F452" s="35">
        <v>1239</v>
      </c>
      <c r="G452" s="35">
        <v>100</v>
      </c>
      <c r="H452" s="43">
        <v>600</v>
      </c>
      <c r="I452" s="35">
        <v>695</v>
      </c>
      <c r="J452" s="35">
        <v>50</v>
      </c>
      <c r="K452" s="36"/>
      <c r="L452" s="36"/>
      <c r="M452" s="36"/>
      <c r="N452" s="36"/>
      <c r="O452" s="36"/>
      <c r="P452" s="36"/>
      <c r="Q452" s="36"/>
      <c r="R452" s="36"/>
      <c r="S452" s="36"/>
      <c r="T452" s="36"/>
    </row>
    <row r="453" spans="1:20" ht="15.75">
      <c r="A453" s="13">
        <v>55304</v>
      </c>
      <c r="B453" s="44">
        <v>31</v>
      </c>
      <c r="C453" s="35">
        <v>194.20500000000001</v>
      </c>
      <c r="D453" s="35">
        <v>267.46600000000001</v>
      </c>
      <c r="E453" s="41">
        <v>812.32899999999995</v>
      </c>
      <c r="F453" s="35">
        <v>1274</v>
      </c>
      <c r="G453" s="35">
        <v>75</v>
      </c>
      <c r="H453" s="43">
        <v>600</v>
      </c>
      <c r="I453" s="35">
        <v>695</v>
      </c>
      <c r="J453" s="35">
        <v>50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</row>
    <row r="454" spans="1:20" ht="15.75">
      <c r="A454" s="13">
        <v>55334</v>
      </c>
      <c r="B454" s="44">
        <v>30</v>
      </c>
      <c r="C454" s="35">
        <v>194.20500000000001</v>
      </c>
      <c r="D454" s="35">
        <v>267.46600000000001</v>
      </c>
      <c r="E454" s="41">
        <v>812.32899999999995</v>
      </c>
      <c r="F454" s="35">
        <v>1274</v>
      </c>
      <c r="G454" s="35">
        <v>50</v>
      </c>
      <c r="H454" s="43">
        <v>600</v>
      </c>
      <c r="I454" s="35">
        <v>695</v>
      </c>
      <c r="J454" s="35">
        <v>50</v>
      </c>
      <c r="K454" s="36"/>
      <c r="L454" s="36"/>
      <c r="M454" s="36"/>
      <c r="N454" s="36"/>
      <c r="O454" s="36"/>
      <c r="P454" s="36"/>
      <c r="Q454" s="36"/>
      <c r="R454" s="36"/>
      <c r="S454" s="36"/>
      <c r="T454" s="36"/>
    </row>
    <row r="455" spans="1:20" ht="15.75">
      <c r="A455" s="13">
        <v>55365</v>
      </c>
      <c r="B455" s="44">
        <v>31</v>
      </c>
      <c r="C455" s="35">
        <v>194.20500000000001</v>
      </c>
      <c r="D455" s="35">
        <v>267.46600000000001</v>
      </c>
      <c r="E455" s="41">
        <v>812.32899999999995</v>
      </c>
      <c r="F455" s="35">
        <v>1274</v>
      </c>
      <c r="G455" s="35">
        <v>50</v>
      </c>
      <c r="H455" s="43">
        <v>600</v>
      </c>
      <c r="I455" s="35">
        <v>695</v>
      </c>
      <c r="J455" s="35">
        <v>0</v>
      </c>
      <c r="K455" s="36"/>
      <c r="L455" s="36"/>
      <c r="M455" s="36"/>
      <c r="N455" s="36"/>
      <c r="O455" s="36"/>
      <c r="P455" s="36"/>
      <c r="Q455" s="36"/>
      <c r="R455" s="36"/>
      <c r="S455" s="36"/>
      <c r="T455" s="36"/>
    </row>
    <row r="456" spans="1:20" ht="15.75">
      <c r="A456" s="13">
        <v>55396</v>
      </c>
      <c r="B456" s="44">
        <v>31</v>
      </c>
      <c r="C456" s="35">
        <v>194.20500000000001</v>
      </c>
      <c r="D456" s="35">
        <v>267.46600000000001</v>
      </c>
      <c r="E456" s="41">
        <v>812.32899999999995</v>
      </c>
      <c r="F456" s="35">
        <v>1274</v>
      </c>
      <c r="G456" s="35">
        <v>50</v>
      </c>
      <c r="H456" s="43">
        <v>600</v>
      </c>
      <c r="I456" s="35">
        <v>695</v>
      </c>
      <c r="J456" s="35">
        <v>0</v>
      </c>
      <c r="K456" s="36"/>
      <c r="L456" s="36"/>
      <c r="M456" s="36"/>
      <c r="N456" s="36"/>
      <c r="O456" s="36"/>
      <c r="P456" s="36"/>
      <c r="Q456" s="36"/>
      <c r="R456" s="36"/>
      <c r="S456" s="36"/>
      <c r="T456" s="36"/>
    </row>
    <row r="457" spans="1:20" ht="15.75">
      <c r="A457" s="13">
        <v>55426</v>
      </c>
      <c r="B457" s="44">
        <v>30</v>
      </c>
      <c r="C457" s="35">
        <v>194.20500000000001</v>
      </c>
      <c r="D457" s="35">
        <v>267.46600000000001</v>
      </c>
      <c r="E457" s="41">
        <v>812.32899999999995</v>
      </c>
      <c r="F457" s="35">
        <v>1274</v>
      </c>
      <c r="G457" s="35">
        <v>50</v>
      </c>
      <c r="H457" s="43">
        <v>600</v>
      </c>
      <c r="I457" s="35">
        <v>695</v>
      </c>
      <c r="J457" s="35">
        <v>0</v>
      </c>
      <c r="K457" s="36"/>
      <c r="L457" s="36"/>
      <c r="M457" s="36"/>
      <c r="N457" s="36"/>
      <c r="O457" s="36"/>
      <c r="P457" s="36"/>
      <c r="Q457" s="36"/>
      <c r="R457" s="36"/>
      <c r="S457" s="36"/>
      <c r="T457" s="36"/>
    </row>
    <row r="458" spans="1:20" ht="15.75">
      <c r="A458" s="13">
        <v>55457</v>
      </c>
      <c r="B458" s="44">
        <v>31</v>
      </c>
      <c r="C458" s="35">
        <v>131.881</v>
      </c>
      <c r="D458" s="35">
        <v>277.16699999999997</v>
      </c>
      <c r="E458" s="41">
        <v>829.952</v>
      </c>
      <c r="F458" s="35">
        <v>1239</v>
      </c>
      <c r="G458" s="35">
        <v>75</v>
      </c>
      <c r="H458" s="43">
        <v>600</v>
      </c>
      <c r="I458" s="35">
        <v>695</v>
      </c>
      <c r="J458" s="35">
        <v>0</v>
      </c>
      <c r="K458" s="36"/>
      <c r="L458" s="36"/>
      <c r="M458" s="36"/>
      <c r="N458" s="36"/>
      <c r="O458" s="36"/>
      <c r="P458" s="36"/>
      <c r="Q458" s="36"/>
      <c r="R458" s="36"/>
      <c r="S458" s="36"/>
      <c r="T458" s="36"/>
    </row>
    <row r="459" spans="1:20" ht="15.75">
      <c r="A459" s="13">
        <v>55487</v>
      </c>
      <c r="B459" s="44">
        <v>30</v>
      </c>
      <c r="C459" s="35">
        <v>122.58</v>
      </c>
      <c r="D459" s="35">
        <v>297.94099999999997</v>
      </c>
      <c r="E459" s="41">
        <v>729.47900000000004</v>
      </c>
      <c r="F459" s="35">
        <v>1150</v>
      </c>
      <c r="G459" s="35">
        <v>100</v>
      </c>
      <c r="H459" s="43">
        <v>600</v>
      </c>
      <c r="I459" s="35">
        <v>695</v>
      </c>
      <c r="J459" s="35">
        <v>50</v>
      </c>
      <c r="K459" s="36"/>
      <c r="L459" s="36"/>
      <c r="M459" s="36"/>
      <c r="N459" s="36"/>
      <c r="O459" s="36"/>
      <c r="P459" s="36"/>
      <c r="Q459" s="36"/>
      <c r="R459" s="36"/>
      <c r="S459" s="36"/>
      <c r="T459" s="36"/>
    </row>
    <row r="460" spans="1:20" ht="15.75">
      <c r="A460" s="13">
        <v>55518</v>
      </c>
      <c r="B460" s="44">
        <v>31</v>
      </c>
      <c r="C460" s="35">
        <v>122.58</v>
      </c>
      <c r="D460" s="35">
        <v>297.94099999999997</v>
      </c>
      <c r="E460" s="41">
        <v>729.47900000000004</v>
      </c>
      <c r="F460" s="35">
        <v>1150</v>
      </c>
      <c r="G460" s="35">
        <v>100</v>
      </c>
      <c r="H460" s="43">
        <v>600</v>
      </c>
      <c r="I460" s="35">
        <v>695</v>
      </c>
      <c r="J460" s="35">
        <v>50</v>
      </c>
      <c r="K460" s="36"/>
      <c r="L460" s="36"/>
      <c r="M460" s="36"/>
      <c r="N460" s="36"/>
      <c r="O460" s="36"/>
      <c r="P460" s="36"/>
      <c r="Q460" s="36"/>
      <c r="R460" s="36"/>
      <c r="S460" s="36"/>
      <c r="T460" s="36"/>
    </row>
    <row r="461" spans="1:20" ht="15.75">
      <c r="A461" s="13">
        <v>55549</v>
      </c>
      <c r="B461" s="44">
        <v>31</v>
      </c>
      <c r="C461" s="35">
        <v>122.58</v>
      </c>
      <c r="D461" s="35">
        <v>297.94099999999997</v>
      </c>
      <c r="E461" s="41">
        <v>729.47900000000004</v>
      </c>
      <c r="F461" s="35">
        <v>1150</v>
      </c>
      <c r="G461" s="35">
        <v>100</v>
      </c>
      <c r="H461" s="43">
        <v>600</v>
      </c>
      <c r="I461" s="35">
        <v>695</v>
      </c>
      <c r="J461" s="35">
        <v>50</v>
      </c>
      <c r="K461" s="36"/>
      <c r="L461" s="36"/>
      <c r="M461" s="36"/>
      <c r="N461" s="36"/>
      <c r="O461" s="36"/>
      <c r="P461" s="36"/>
      <c r="Q461" s="36"/>
      <c r="R461" s="36"/>
      <c r="S461" s="36"/>
      <c r="T461" s="36"/>
    </row>
    <row r="462" spans="1:20" ht="15.75">
      <c r="A462" s="13">
        <v>55577</v>
      </c>
      <c r="B462" s="44">
        <v>29</v>
      </c>
      <c r="C462" s="35">
        <v>122.58</v>
      </c>
      <c r="D462" s="35">
        <v>297.94099999999997</v>
      </c>
      <c r="E462" s="41">
        <v>729.47900000000004</v>
      </c>
      <c r="F462" s="35">
        <v>1150</v>
      </c>
      <c r="G462" s="35">
        <v>100</v>
      </c>
      <c r="H462" s="43">
        <v>600</v>
      </c>
      <c r="I462" s="35">
        <v>695</v>
      </c>
      <c r="J462" s="35">
        <v>50</v>
      </c>
      <c r="K462" s="36"/>
      <c r="L462" s="36"/>
      <c r="M462" s="36"/>
      <c r="N462" s="36"/>
      <c r="O462" s="36"/>
      <c r="P462" s="36"/>
      <c r="Q462" s="36"/>
      <c r="R462" s="36"/>
      <c r="S462" s="36"/>
      <c r="T462" s="36"/>
    </row>
    <row r="463" spans="1:20" ht="15.75">
      <c r="A463" s="13">
        <v>55609</v>
      </c>
      <c r="B463" s="44">
        <v>31</v>
      </c>
      <c r="C463" s="35">
        <v>122.58</v>
      </c>
      <c r="D463" s="35">
        <v>297.94099999999997</v>
      </c>
      <c r="E463" s="41">
        <v>729.47900000000004</v>
      </c>
      <c r="F463" s="35">
        <v>1150</v>
      </c>
      <c r="G463" s="35">
        <v>100</v>
      </c>
      <c r="H463" s="43">
        <v>600</v>
      </c>
      <c r="I463" s="35">
        <v>695</v>
      </c>
      <c r="J463" s="35">
        <v>50</v>
      </c>
      <c r="K463" s="36"/>
      <c r="L463" s="36"/>
      <c r="M463" s="36"/>
      <c r="N463" s="36"/>
      <c r="O463" s="36"/>
      <c r="P463" s="36"/>
      <c r="Q463" s="36"/>
      <c r="R463" s="36"/>
      <c r="S463" s="36"/>
      <c r="T463" s="36"/>
    </row>
    <row r="464" spans="1:20" ht="15.75">
      <c r="A464" s="13">
        <v>55639</v>
      </c>
      <c r="B464" s="44">
        <v>30</v>
      </c>
      <c r="C464" s="35">
        <v>141.29300000000001</v>
      </c>
      <c r="D464" s="35">
        <v>267.99299999999999</v>
      </c>
      <c r="E464" s="41">
        <v>829.71400000000006</v>
      </c>
      <c r="F464" s="35">
        <v>1239</v>
      </c>
      <c r="G464" s="35">
        <v>100</v>
      </c>
      <c r="H464" s="43">
        <v>600</v>
      </c>
      <c r="I464" s="35">
        <v>695</v>
      </c>
      <c r="J464" s="35">
        <v>50</v>
      </c>
      <c r="K464" s="36"/>
      <c r="L464" s="36"/>
      <c r="M464" s="36"/>
      <c r="N464" s="36"/>
      <c r="O464" s="36"/>
      <c r="P464" s="36"/>
      <c r="Q464" s="36"/>
      <c r="R464" s="36"/>
      <c r="S464" s="36"/>
      <c r="T464" s="36"/>
    </row>
    <row r="465" spans="1:20" ht="15.75">
      <c r="A465" s="13">
        <v>55670</v>
      </c>
      <c r="B465" s="44">
        <v>31</v>
      </c>
      <c r="C465" s="35">
        <v>194.20500000000001</v>
      </c>
      <c r="D465" s="35">
        <v>267.46600000000001</v>
      </c>
      <c r="E465" s="41">
        <v>812.32899999999995</v>
      </c>
      <c r="F465" s="35">
        <v>1274</v>
      </c>
      <c r="G465" s="35">
        <v>75</v>
      </c>
      <c r="H465" s="43">
        <v>600</v>
      </c>
      <c r="I465" s="35">
        <v>695</v>
      </c>
      <c r="J465" s="35">
        <v>50</v>
      </c>
      <c r="K465" s="36"/>
      <c r="L465" s="36"/>
      <c r="M465" s="36"/>
      <c r="N465" s="36"/>
      <c r="O465" s="36"/>
      <c r="P465" s="36"/>
      <c r="Q465" s="36"/>
      <c r="R465" s="36"/>
      <c r="S465" s="36"/>
      <c r="T465" s="36"/>
    </row>
    <row r="466" spans="1:20" ht="15.75">
      <c r="A466" s="13">
        <v>55700</v>
      </c>
      <c r="B466" s="44">
        <v>30</v>
      </c>
      <c r="C466" s="35">
        <v>194.20500000000001</v>
      </c>
      <c r="D466" s="35">
        <v>267.46600000000001</v>
      </c>
      <c r="E466" s="41">
        <v>812.32899999999995</v>
      </c>
      <c r="F466" s="35">
        <v>1274</v>
      </c>
      <c r="G466" s="35">
        <v>50</v>
      </c>
      <c r="H466" s="43">
        <v>600</v>
      </c>
      <c r="I466" s="35">
        <v>695</v>
      </c>
      <c r="J466" s="35">
        <v>50</v>
      </c>
      <c r="K466" s="36"/>
      <c r="L466" s="36"/>
      <c r="M466" s="36"/>
      <c r="N466" s="36"/>
      <c r="O466" s="36"/>
      <c r="P466" s="36"/>
      <c r="Q466" s="36"/>
      <c r="R466" s="36"/>
      <c r="S466" s="36"/>
      <c r="T466" s="36"/>
    </row>
    <row r="467" spans="1:20" ht="15.75">
      <c r="A467" s="13">
        <v>55731</v>
      </c>
      <c r="B467" s="44">
        <v>31</v>
      </c>
      <c r="C467" s="35">
        <v>194.20500000000001</v>
      </c>
      <c r="D467" s="35">
        <v>267.46600000000001</v>
      </c>
      <c r="E467" s="41">
        <v>812.32899999999995</v>
      </c>
      <c r="F467" s="35">
        <v>1274</v>
      </c>
      <c r="G467" s="35">
        <v>50</v>
      </c>
      <c r="H467" s="43">
        <v>600</v>
      </c>
      <c r="I467" s="35">
        <v>695</v>
      </c>
      <c r="J467" s="35">
        <v>0</v>
      </c>
      <c r="K467" s="36"/>
      <c r="L467" s="36"/>
      <c r="M467" s="36"/>
      <c r="N467" s="36"/>
      <c r="O467" s="36"/>
      <c r="P467" s="36"/>
      <c r="Q467" s="36"/>
      <c r="R467" s="36"/>
      <c r="S467" s="36"/>
      <c r="T467" s="36"/>
    </row>
    <row r="468" spans="1:20" ht="15.75">
      <c r="A468" s="13">
        <v>55762</v>
      </c>
      <c r="B468" s="44">
        <v>31</v>
      </c>
      <c r="C468" s="35">
        <v>194.20500000000001</v>
      </c>
      <c r="D468" s="35">
        <v>267.46600000000001</v>
      </c>
      <c r="E468" s="41">
        <v>812.32899999999995</v>
      </c>
      <c r="F468" s="35">
        <v>1274</v>
      </c>
      <c r="G468" s="35">
        <v>50</v>
      </c>
      <c r="H468" s="43">
        <v>600</v>
      </c>
      <c r="I468" s="35">
        <v>695</v>
      </c>
      <c r="J468" s="35">
        <v>0</v>
      </c>
      <c r="K468" s="36"/>
      <c r="L468" s="36"/>
      <c r="M468" s="36"/>
      <c r="N468" s="36"/>
      <c r="O468" s="36"/>
      <c r="P468" s="36"/>
      <c r="Q468" s="36"/>
      <c r="R468" s="36"/>
      <c r="S468" s="36"/>
      <c r="T468" s="36"/>
    </row>
    <row r="469" spans="1:20" ht="15.75">
      <c r="A469" s="13">
        <v>55792</v>
      </c>
      <c r="B469" s="44">
        <v>30</v>
      </c>
      <c r="C469" s="35">
        <v>194.20500000000001</v>
      </c>
      <c r="D469" s="35">
        <v>267.46600000000001</v>
      </c>
      <c r="E469" s="41">
        <v>812.32899999999995</v>
      </c>
      <c r="F469" s="35">
        <v>1274</v>
      </c>
      <c r="G469" s="35">
        <v>50</v>
      </c>
      <c r="H469" s="43">
        <v>600</v>
      </c>
      <c r="I469" s="35">
        <v>695</v>
      </c>
      <c r="J469" s="35">
        <v>0</v>
      </c>
      <c r="K469" s="36"/>
      <c r="L469" s="36"/>
      <c r="M469" s="36"/>
      <c r="N469" s="36"/>
      <c r="O469" s="36"/>
      <c r="P469" s="36"/>
      <c r="Q469" s="36"/>
      <c r="R469" s="36"/>
      <c r="S469" s="36"/>
      <c r="T469" s="36"/>
    </row>
    <row r="470" spans="1:20" ht="15.75">
      <c r="A470" s="13">
        <v>55823</v>
      </c>
      <c r="B470" s="44">
        <v>31</v>
      </c>
      <c r="C470" s="35">
        <v>131.881</v>
      </c>
      <c r="D470" s="35">
        <v>277.16699999999997</v>
      </c>
      <c r="E470" s="41">
        <v>829.952</v>
      </c>
      <c r="F470" s="35">
        <v>1239</v>
      </c>
      <c r="G470" s="35">
        <v>75</v>
      </c>
      <c r="H470" s="43">
        <v>600</v>
      </c>
      <c r="I470" s="35">
        <v>695</v>
      </c>
      <c r="J470" s="35">
        <v>0</v>
      </c>
      <c r="K470" s="36"/>
      <c r="L470" s="36"/>
      <c r="M470" s="36"/>
      <c r="N470" s="36"/>
      <c r="O470" s="36"/>
      <c r="P470" s="36"/>
      <c r="Q470" s="36"/>
      <c r="R470" s="36"/>
      <c r="S470" s="36"/>
      <c r="T470" s="36"/>
    </row>
    <row r="471" spans="1:20" ht="15.75">
      <c r="A471" s="13">
        <v>55853</v>
      </c>
      <c r="B471" s="44">
        <v>30</v>
      </c>
      <c r="C471" s="35">
        <v>122.58</v>
      </c>
      <c r="D471" s="35">
        <v>297.94099999999997</v>
      </c>
      <c r="E471" s="41">
        <v>729.47900000000004</v>
      </c>
      <c r="F471" s="35">
        <v>1150</v>
      </c>
      <c r="G471" s="35">
        <v>100</v>
      </c>
      <c r="H471" s="43">
        <v>600</v>
      </c>
      <c r="I471" s="35">
        <v>695</v>
      </c>
      <c r="J471" s="35">
        <v>50</v>
      </c>
      <c r="K471" s="36"/>
      <c r="L471" s="36"/>
      <c r="M471" s="36"/>
      <c r="N471" s="36"/>
      <c r="O471" s="36"/>
      <c r="P471" s="36"/>
      <c r="Q471" s="36"/>
      <c r="R471" s="36"/>
      <c r="S471" s="36"/>
      <c r="T471" s="36"/>
    </row>
    <row r="472" spans="1:20" ht="15.75">
      <c r="A472" s="13">
        <v>55884</v>
      </c>
      <c r="B472" s="44">
        <v>31</v>
      </c>
      <c r="C472" s="35">
        <v>122.58</v>
      </c>
      <c r="D472" s="35">
        <v>297.94099999999997</v>
      </c>
      <c r="E472" s="41">
        <v>729.47900000000004</v>
      </c>
      <c r="F472" s="35">
        <v>1150</v>
      </c>
      <c r="G472" s="35">
        <v>100</v>
      </c>
      <c r="H472" s="43">
        <v>600</v>
      </c>
      <c r="I472" s="35">
        <v>695</v>
      </c>
      <c r="J472" s="35">
        <v>50</v>
      </c>
      <c r="K472" s="36"/>
      <c r="L472" s="36"/>
      <c r="M472" s="36"/>
      <c r="N472" s="36"/>
      <c r="O472" s="36"/>
      <c r="P472" s="36"/>
      <c r="Q472" s="36"/>
      <c r="R472" s="36"/>
      <c r="S472" s="36"/>
      <c r="T472" s="36"/>
    </row>
    <row r="473" spans="1:20" ht="15.75">
      <c r="A473" s="13">
        <v>55915</v>
      </c>
      <c r="B473" s="44">
        <v>31</v>
      </c>
      <c r="C473" s="35">
        <v>122.58</v>
      </c>
      <c r="D473" s="35">
        <v>297.94099999999997</v>
      </c>
      <c r="E473" s="41">
        <v>729.47900000000004</v>
      </c>
      <c r="F473" s="35">
        <v>1150</v>
      </c>
      <c r="G473" s="35">
        <v>100</v>
      </c>
      <c r="H473" s="43">
        <v>600</v>
      </c>
      <c r="I473" s="35">
        <v>695</v>
      </c>
      <c r="J473" s="35">
        <v>50</v>
      </c>
      <c r="K473" s="36"/>
      <c r="L473" s="36"/>
      <c r="M473" s="36"/>
      <c r="N473" s="36"/>
      <c r="O473" s="36"/>
      <c r="P473" s="36"/>
      <c r="Q473" s="36"/>
      <c r="R473" s="36"/>
      <c r="S473" s="36"/>
      <c r="T473" s="36"/>
    </row>
    <row r="474" spans="1:20" ht="15.75">
      <c r="A474" s="13">
        <v>55943</v>
      </c>
      <c r="B474" s="44">
        <v>28</v>
      </c>
      <c r="C474" s="35">
        <v>122.58</v>
      </c>
      <c r="D474" s="35">
        <v>297.94099999999997</v>
      </c>
      <c r="E474" s="41">
        <v>729.47900000000004</v>
      </c>
      <c r="F474" s="35">
        <v>1150</v>
      </c>
      <c r="G474" s="35">
        <v>100</v>
      </c>
      <c r="H474" s="43">
        <v>600</v>
      </c>
      <c r="I474" s="35">
        <v>695</v>
      </c>
      <c r="J474" s="35">
        <v>50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</row>
    <row r="475" spans="1:20" ht="15.75">
      <c r="A475" s="13">
        <v>55974</v>
      </c>
      <c r="B475" s="44">
        <v>31</v>
      </c>
      <c r="C475" s="35">
        <v>122.58</v>
      </c>
      <c r="D475" s="35">
        <v>297.94099999999997</v>
      </c>
      <c r="E475" s="41">
        <v>729.47900000000004</v>
      </c>
      <c r="F475" s="35">
        <v>1150</v>
      </c>
      <c r="G475" s="35">
        <v>100</v>
      </c>
      <c r="H475" s="43">
        <v>600</v>
      </c>
      <c r="I475" s="35">
        <v>695</v>
      </c>
      <c r="J475" s="35">
        <v>50</v>
      </c>
      <c r="K475" s="36"/>
      <c r="L475" s="36"/>
      <c r="M475" s="36"/>
      <c r="N475" s="36"/>
      <c r="O475" s="36"/>
      <c r="P475" s="36"/>
      <c r="Q475" s="36"/>
      <c r="R475" s="36"/>
      <c r="S475" s="36"/>
      <c r="T475" s="36"/>
    </row>
    <row r="476" spans="1:20" ht="15.75">
      <c r="A476" s="13">
        <v>56004</v>
      </c>
      <c r="B476" s="44">
        <v>30</v>
      </c>
      <c r="C476" s="35">
        <v>141.29300000000001</v>
      </c>
      <c r="D476" s="35">
        <v>267.99299999999999</v>
      </c>
      <c r="E476" s="41">
        <v>829.71400000000006</v>
      </c>
      <c r="F476" s="35">
        <v>1239</v>
      </c>
      <c r="G476" s="35">
        <v>100</v>
      </c>
      <c r="H476" s="43">
        <v>600</v>
      </c>
      <c r="I476" s="35">
        <v>695</v>
      </c>
      <c r="J476" s="35">
        <v>50</v>
      </c>
      <c r="K476" s="36"/>
      <c r="L476" s="36"/>
      <c r="M476" s="36"/>
      <c r="N476" s="36"/>
      <c r="O476" s="36"/>
      <c r="P476" s="36"/>
      <c r="Q476" s="36"/>
      <c r="R476" s="36"/>
      <c r="S476" s="36"/>
      <c r="T476" s="36"/>
    </row>
    <row r="477" spans="1:20" ht="15.75">
      <c r="A477" s="13">
        <v>56035</v>
      </c>
      <c r="B477" s="44">
        <v>31</v>
      </c>
      <c r="C477" s="35">
        <v>194.20500000000001</v>
      </c>
      <c r="D477" s="35">
        <v>267.46600000000001</v>
      </c>
      <c r="E477" s="41">
        <v>812.32899999999995</v>
      </c>
      <c r="F477" s="35">
        <v>1274</v>
      </c>
      <c r="G477" s="35">
        <v>75</v>
      </c>
      <c r="H477" s="43">
        <v>600</v>
      </c>
      <c r="I477" s="35">
        <v>695</v>
      </c>
      <c r="J477" s="35">
        <v>50</v>
      </c>
      <c r="K477" s="36"/>
      <c r="L477" s="36"/>
      <c r="M477" s="36"/>
      <c r="N477" s="36"/>
      <c r="O477" s="36"/>
      <c r="P477" s="36"/>
      <c r="Q477" s="36"/>
      <c r="R477" s="36"/>
      <c r="S477" s="36"/>
      <c r="T477" s="36"/>
    </row>
    <row r="478" spans="1:20" ht="15.75">
      <c r="A478" s="13">
        <v>56065</v>
      </c>
      <c r="B478" s="44">
        <v>30</v>
      </c>
      <c r="C478" s="35">
        <v>194.20500000000001</v>
      </c>
      <c r="D478" s="35">
        <v>267.46600000000001</v>
      </c>
      <c r="E478" s="41">
        <v>812.32899999999995</v>
      </c>
      <c r="F478" s="35">
        <v>1274</v>
      </c>
      <c r="G478" s="35">
        <v>50</v>
      </c>
      <c r="H478" s="43">
        <v>600</v>
      </c>
      <c r="I478" s="35">
        <v>695</v>
      </c>
      <c r="J478" s="35">
        <v>50</v>
      </c>
      <c r="K478" s="36"/>
      <c r="L478" s="36"/>
      <c r="M478" s="36"/>
      <c r="N478" s="36"/>
      <c r="O478" s="36"/>
      <c r="P478" s="36"/>
      <c r="Q478" s="36"/>
      <c r="R478" s="36"/>
      <c r="S478" s="36"/>
      <c r="T478" s="36"/>
    </row>
    <row r="479" spans="1:20" ht="15.75">
      <c r="A479" s="13">
        <v>56096</v>
      </c>
      <c r="B479" s="44">
        <v>31</v>
      </c>
      <c r="C479" s="35">
        <v>194.20500000000001</v>
      </c>
      <c r="D479" s="35">
        <v>267.46600000000001</v>
      </c>
      <c r="E479" s="41">
        <v>812.32899999999995</v>
      </c>
      <c r="F479" s="35">
        <v>1274</v>
      </c>
      <c r="G479" s="35">
        <v>50</v>
      </c>
      <c r="H479" s="43">
        <v>600</v>
      </c>
      <c r="I479" s="35">
        <v>695</v>
      </c>
      <c r="J479" s="35">
        <v>0</v>
      </c>
      <c r="K479" s="36"/>
      <c r="L479" s="36"/>
      <c r="M479" s="36"/>
      <c r="N479" s="36"/>
      <c r="O479" s="36"/>
      <c r="P479" s="36"/>
      <c r="Q479" s="36"/>
      <c r="R479" s="36"/>
      <c r="S479" s="36"/>
      <c r="T479" s="36"/>
    </row>
    <row r="480" spans="1:20" ht="15.75">
      <c r="A480" s="13">
        <v>56127</v>
      </c>
      <c r="B480" s="44">
        <v>31</v>
      </c>
      <c r="C480" s="35">
        <v>194.20500000000001</v>
      </c>
      <c r="D480" s="35">
        <v>267.46600000000001</v>
      </c>
      <c r="E480" s="41">
        <v>812.32899999999995</v>
      </c>
      <c r="F480" s="35">
        <v>1274</v>
      </c>
      <c r="G480" s="35">
        <v>50</v>
      </c>
      <c r="H480" s="43">
        <v>600</v>
      </c>
      <c r="I480" s="35">
        <v>695</v>
      </c>
      <c r="J480" s="35">
        <v>0</v>
      </c>
      <c r="K480" s="36"/>
      <c r="L480" s="36"/>
      <c r="M480" s="36"/>
      <c r="N480" s="36"/>
      <c r="O480" s="36"/>
      <c r="P480" s="36"/>
      <c r="Q480" s="36"/>
      <c r="R480" s="36"/>
      <c r="S480" s="36"/>
      <c r="T480" s="36"/>
    </row>
    <row r="481" spans="1:20" ht="15.75">
      <c r="A481" s="13">
        <v>56157</v>
      </c>
      <c r="B481" s="44">
        <v>30</v>
      </c>
      <c r="C481" s="35">
        <v>194.20500000000001</v>
      </c>
      <c r="D481" s="35">
        <v>267.46600000000001</v>
      </c>
      <c r="E481" s="41">
        <v>812.32899999999995</v>
      </c>
      <c r="F481" s="35">
        <v>1274</v>
      </c>
      <c r="G481" s="35">
        <v>50</v>
      </c>
      <c r="H481" s="43">
        <v>600</v>
      </c>
      <c r="I481" s="35">
        <v>695</v>
      </c>
      <c r="J481" s="35">
        <v>0</v>
      </c>
      <c r="K481" s="36"/>
      <c r="L481" s="36"/>
      <c r="M481" s="36"/>
      <c r="N481" s="36"/>
      <c r="O481" s="36"/>
      <c r="P481" s="36"/>
      <c r="Q481" s="36"/>
      <c r="R481" s="36"/>
      <c r="S481" s="36"/>
      <c r="T481" s="36"/>
    </row>
    <row r="482" spans="1:20" ht="15.75">
      <c r="A482" s="13">
        <v>56188</v>
      </c>
      <c r="B482" s="44">
        <v>31</v>
      </c>
      <c r="C482" s="35">
        <v>131.881</v>
      </c>
      <c r="D482" s="35">
        <v>277.16699999999997</v>
      </c>
      <c r="E482" s="41">
        <v>829.952</v>
      </c>
      <c r="F482" s="35">
        <v>1239</v>
      </c>
      <c r="G482" s="35">
        <v>75</v>
      </c>
      <c r="H482" s="43">
        <v>600</v>
      </c>
      <c r="I482" s="35">
        <v>695</v>
      </c>
      <c r="J482" s="35">
        <v>0</v>
      </c>
      <c r="K482" s="36"/>
      <c r="L482" s="36"/>
      <c r="M482" s="36"/>
      <c r="N482" s="36"/>
      <c r="O482" s="36"/>
      <c r="P482" s="36"/>
      <c r="Q482" s="36"/>
      <c r="R482" s="36"/>
      <c r="S482" s="36"/>
      <c r="T482" s="36"/>
    </row>
    <row r="483" spans="1:20" ht="15.75">
      <c r="A483" s="13">
        <v>56218</v>
      </c>
      <c r="B483" s="44">
        <v>30</v>
      </c>
      <c r="C483" s="35">
        <v>122.58</v>
      </c>
      <c r="D483" s="35">
        <v>297.94099999999997</v>
      </c>
      <c r="E483" s="41">
        <v>729.47900000000004</v>
      </c>
      <c r="F483" s="35">
        <v>1150</v>
      </c>
      <c r="G483" s="35">
        <v>100</v>
      </c>
      <c r="H483" s="43">
        <v>600</v>
      </c>
      <c r="I483" s="35">
        <v>695</v>
      </c>
      <c r="J483" s="35">
        <v>50</v>
      </c>
      <c r="K483" s="36"/>
      <c r="L483" s="36"/>
      <c r="M483" s="36"/>
      <c r="N483" s="36"/>
      <c r="O483" s="36"/>
      <c r="P483" s="36"/>
      <c r="Q483" s="36"/>
      <c r="R483" s="36"/>
      <c r="S483" s="36"/>
      <c r="T483" s="36"/>
    </row>
    <row r="484" spans="1:20" ht="15.75">
      <c r="A484" s="13">
        <v>56249</v>
      </c>
      <c r="B484" s="44">
        <v>31</v>
      </c>
      <c r="C484" s="35">
        <v>122.58</v>
      </c>
      <c r="D484" s="35">
        <v>297.94099999999997</v>
      </c>
      <c r="E484" s="41">
        <v>729.47900000000004</v>
      </c>
      <c r="F484" s="35">
        <v>1150</v>
      </c>
      <c r="G484" s="35">
        <v>100</v>
      </c>
      <c r="H484" s="43">
        <v>600</v>
      </c>
      <c r="I484" s="35">
        <v>695</v>
      </c>
      <c r="J484" s="35">
        <v>50</v>
      </c>
      <c r="K484" s="36"/>
      <c r="L484" s="36"/>
      <c r="M484" s="36"/>
      <c r="N484" s="36"/>
      <c r="O484" s="36"/>
      <c r="P484" s="36"/>
      <c r="Q484" s="36"/>
      <c r="R484" s="36"/>
      <c r="S484" s="36"/>
      <c r="T484" s="36"/>
    </row>
    <row r="485" spans="1:20" ht="15.75">
      <c r="A485" s="13">
        <v>56280</v>
      </c>
      <c r="B485" s="44">
        <v>31</v>
      </c>
      <c r="C485" s="35">
        <v>122.58</v>
      </c>
      <c r="D485" s="35">
        <v>297.94099999999997</v>
      </c>
      <c r="E485" s="41">
        <v>729.47900000000004</v>
      </c>
      <c r="F485" s="35">
        <v>1150</v>
      </c>
      <c r="G485" s="35">
        <v>100</v>
      </c>
      <c r="H485" s="43">
        <v>600</v>
      </c>
      <c r="I485" s="35">
        <v>695</v>
      </c>
      <c r="J485" s="35">
        <v>50</v>
      </c>
      <c r="K485" s="36"/>
      <c r="L485" s="36"/>
      <c r="M485" s="36"/>
      <c r="N485" s="36"/>
      <c r="O485" s="36"/>
      <c r="P485" s="36"/>
      <c r="Q485" s="36"/>
      <c r="R485" s="36"/>
      <c r="S485" s="36"/>
      <c r="T485" s="36"/>
    </row>
    <row r="486" spans="1:20" ht="15.75">
      <c r="A486" s="13">
        <v>56308</v>
      </c>
      <c r="B486" s="44">
        <v>28</v>
      </c>
      <c r="C486" s="35">
        <v>122.58</v>
      </c>
      <c r="D486" s="35">
        <v>297.94099999999997</v>
      </c>
      <c r="E486" s="41">
        <v>729.47900000000004</v>
      </c>
      <c r="F486" s="35">
        <v>1150</v>
      </c>
      <c r="G486" s="35">
        <v>100</v>
      </c>
      <c r="H486" s="43">
        <v>600</v>
      </c>
      <c r="I486" s="35">
        <v>695</v>
      </c>
      <c r="J486" s="35">
        <v>50</v>
      </c>
      <c r="K486" s="36"/>
      <c r="L486" s="36"/>
      <c r="M486" s="36"/>
      <c r="N486" s="36"/>
      <c r="O486" s="36"/>
      <c r="P486" s="36"/>
      <c r="Q486" s="36"/>
      <c r="R486" s="36"/>
      <c r="S486" s="36"/>
      <c r="T486" s="36"/>
    </row>
    <row r="487" spans="1:20" ht="15.75">
      <c r="A487" s="13">
        <v>56339</v>
      </c>
      <c r="B487" s="44">
        <v>31</v>
      </c>
      <c r="C487" s="35">
        <v>122.58</v>
      </c>
      <c r="D487" s="35">
        <v>297.94099999999997</v>
      </c>
      <c r="E487" s="41">
        <v>729.47900000000004</v>
      </c>
      <c r="F487" s="35">
        <v>1150</v>
      </c>
      <c r="G487" s="35">
        <v>100</v>
      </c>
      <c r="H487" s="43">
        <v>600</v>
      </c>
      <c r="I487" s="35">
        <v>695</v>
      </c>
      <c r="J487" s="35">
        <v>50</v>
      </c>
      <c r="K487" s="36"/>
      <c r="L487" s="36"/>
      <c r="M487" s="36"/>
      <c r="N487" s="36"/>
      <c r="O487" s="36"/>
      <c r="P487" s="36"/>
      <c r="Q487" s="36"/>
      <c r="R487" s="36"/>
      <c r="S487" s="36"/>
      <c r="T487" s="36"/>
    </row>
    <row r="488" spans="1:20" ht="15.75">
      <c r="A488" s="13">
        <v>56369</v>
      </c>
      <c r="B488" s="44">
        <v>30</v>
      </c>
      <c r="C488" s="35">
        <v>141.29300000000001</v>
      </c>
      <c r="D488" s="35">
        <v>267.99299999999999</v>
      </c>
      <c r="E488" s="41">
        <v>829.71400000000006</v>
      </c>
      <c r="F488" s="35">
        <v>1239</v>
      </c>
      <c r="G488" s="35">
        <v>100</v>
      </c>
      <c r="H488" s="43">
        <v>600</v>
      </c>
      <c r="I488" s="35">
        <v>695</v>
      </c>
      <c r="J488" s="35">
        <v>50</v>
      </c>
      <c r="K488" s="36"/>
      <c r="L488" s="36"/>
      <c r="M488" s="36"/>
      <c r="N488" s="36"/>
      <c r="O488" s="36"/>
      <c r="P488" s="36"/>
      <c r="Q488" s="36"/>
      <c r="R488" s="36"/>
      <c r="S488" s="36"/>
      <c r="T488" s="36"/>
    </row>
    <row r="489" spans="1:20" ht="15.75">
      <c r="A489" s="13">
        <v>56400</v>
      </c>
      <c r="B489" s="44">
        <v>31</v>
      </c>
      <c r="C489" s="35">
        <v>194.20500000000001</v>
      </c>
      <c r="D489" s="35">
        <v>267.46600000000001</v>
      </c>
      <c r="E489" s="41">
        <v>812.32899999999995</v>
      </c>
      <c r="F489" s="35">
        <v>1274</v>
      </c>
      <c r="G489" s="35">
        <v>75</v>
      </c>
      <c r="H489" s="43">
        <v>600</v>
      </c>
      <c r="I489" s="35">
        <v>695</v>
      </c>
      <c r="J489" s="35">
        <v>50</v>
      </c>
      <c r="K489" s="36"/>
      <c r="L489" s="36"/>
      <c r="M489" s="36"/>
      <c r="N489" s="36"/>
      <c r="O489" s="36"/>
      <c r="P489" s="36"/>
      <c r="Q489" s="36"/>
      <c r="R489" s="36"/>
      <c r="S489" s="36"/>
      <c r="T489" s="36"/>
    </row>
    <row r="490" spans="1:20" ht="15.75">
      <c r="A490" s="13">
        <v>56430</v>
      </c>
      <c r="B490" s="44">
        <v>30</v>
      </c>
      <c r="C490" s="35">
        <v>194.20500000000001</v>
      </c>
      <c r="D490" s="35">
        <v>267.46600000000001</v>
      </c>
      <c r="E490" s="41">
        <v>812.32899999999995</v>
      </c>
      <c r="F490" s="35">
        <v>1274</v>
      </c>
      <c r="G490" s="35">
        <v>50</v>
      </c>
      <c r="H490" s="43">
        <v>600</v>
      </c>
      <c r="I490" s="35">
        <v>695</v>
      </c>
      <c r="J490" s="35">
        <v>50</v>
      </c>
      <c r="K490" s="36"/>
      <c r="L490" s="36"/>
      <c r="M490" s="36"/>
      <c r="N490" s="36"/>
      <c r="O490" s="36"/>
      <c r="P490" s="36"/>
      <c r="Q490" s="36"/>
      <c r="R490" s="36"/>
      <c r="S490" s="36"/>
      <c r="T490" s="36"/>
    </row>
    <row r="491" spans="1:20" ht="15.75">
      <c r="A491" s="13">
        <v>56461</v>
      </c>
      <c r="B491" s="44">
        <v>31</v>
      </c>
      <c r="C491" s="35">
        <v>194.20500000000001</v>
      </c>
      <c r="D491" s="35">
        <v>267.46600000000001</v>
      </c>
      <c r="E491" s="41">
        <v>812.32899999999995</v>
      </c>
      <c r="F491" s="35">
        <v>1274</v>
      </c>
      <c r="G491" s="35">
        <v>50</v>
      </c>
      <c r="H491" s="43">
        <v>600</v>
      </c>
      <c r="I491" s="35">
        <v>695</v>
      </c>
      <c r="J491" s="35">
        <v>0</v>
      </c>
      <c r="K491" s="36"/>
      <c r="L491" s="36"/>
      <c r="M491" s="36"/>
      <c r="N491" s="36"/>
      <c r="O491" s="36"/>
      <c r="P491" s="36"/>
      <c r="Q491" s="36"/>
      <c r="R491" s="36"/>
      <c r="S491" s="36"/>
      <c r="T491" s="36"/>
    </row>
    <row r="492" spans="1:20" ht="15.75">
      <c r="A492" s="13">
        <v>56492</v>
      </c>
      <c r="B492" s="44">
        <v>31</v>
      </c>
      <c r="C492" s="35">
        <v>194.20500000000001</v>
      </c>
      <c r="D492" s="35">
        <v>267.46600000000001</v>
      </c>
      <c r="E492" s="41">
        <v>812.32899999999995</v>
      </c>
      <c r="F492" s="35">
        <v>1274</v>
      </c>
      <c r="G492" s="35">
        <v>50</v>
      </c>
      <c r="H492" s="43">
        <v>600</v>
      </c>
      <c r="I492" s="35">
        <v>695</v>
      </c>
      <c r="J492" s="35">
        <v>0</v>
      </c>
      <c r="K492" s="36"/>
      <c r="L492" s="36"/>
      <c r="M492" s="36"/>
      <c r="N492" s="36"/>
      <c r="O492" s="36"/>
      <c r="P492" s="36"/>
      <c r="Q492" s="36"/>
      <c r="R492" s="36"/>
      <c r="S492" s="36"/>
      <c r="T492" s="36"/>
    </row>
    <row r="493" spans="1:20" ht="15.75">
      <c r="A493" s="13">
        <v>56522</v>
      </c>
      <c r="B493" s="44">
        <v>30</v>
      </c>
      <c r="C493" s="35">
        <v>194.20500000000001</v>
      </c>
      <c r="D493" s="35">
        <v>267.46600000000001</v>
      </c>
      <c r="E493" s="41">
        <v>812.32899999999995</v>
      </c>
      <c r="F493" s="35">
        <v>1274</v>
      </c>
      <c r="G493" s="35">
        <v>50</v>
      </c>
      <c r="H493" s="43">
        <v>600</v>
      </c>
      <c r="I493" s="35">
        <v>695</v>
      </c>
      <c r="J493" s="35">
        <v>0</v>
      </c>
      <c r="K493" s="36"/>
      <c r="L493" s="36"/>
      <c r="M493" s="36"/>
      <c r="N493" s="36"/>
      <c r="O493" s="36"/>
      <c r="P493" s="36"/>
      <c r="Q493" s="36"/>
      <c r="R493" s="36"/>
      <c r="S493" s="36"/>
      <c r="T493" s="36"/>
    </row>
    <row r="494" spans="1:20" ht="15.75">
      <c r="A494" s="13">
        <v>56553</v>
      </c>
      <c r="B494" s="44">
        <v>31</v>
      </c>
      <c r="C494" s="35">
        <v>131.881</v>
      </c>
      <c r="D494" s="35">
        <v>277.16699999999997</v>
      </c>
      <c r="E494" s="41">
        <v>829.952</v>
      </c>
      <c r="F494" s="35">
        <v>1239</v>
      </c>
      <c r="G494" s="35">
        <v>75</v>
      </c>
      <c r="H494" s="43">
        <v>600</v>
      </c>
      <c r="I494" s="35">
        <v>695</v>
      </c>
      <c r="J494" s="35">
        <v>0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</row>
    <row r="495" spans="1:20" ht="15.75">
      <c r="A495" s="13">
        <v>56583</v>
      </c>
      <c r="B495" s="44">
        <v>30</v>
      </c>
      <c r="C495" s="35">
        <v>122.58</v>
      </c>
      <c r="D495" s="35">
        <v>297.94099999999997</v>
      </c>
      <c r="E495" s="41">
        <v>729.47900000000004</v>
      </c>
      <c r="F495" s="35">
        <v>1150</v>
      </c>
      <c r="G495" s="35">
        <v>100</v>
      </c>
      <c r="H495" s="43">
        <v>600</v>
      </c>
      <c r="I495" s="35">
        <v>695</v>
      </c>
      <c r="J495" s="35">
        <v>50</v>
      </c>
      <c r="K495" s="36"/>
      <c r="L495" s="36"/>
      <c r="M495" s="36"/>
      <c r="N495" s="36"/>
      <c r="O495" s="36"/>
      <c r="P495" s="36"/>
      <c r="Q495" s="36"/>
      <c r="R495" s="36"/>
      <c r="S495" s="36"/>
      <c r="T495" s="36"/>
    </row>
    <row r="496" spans="1:20" ht="15.75">
      <c r="A496" s="13">
        <v>56614</v>
      </c>
      <c r="B496" s="44">
        <v>31</v>
      </c>
      <c r="C496" s="35">
        <v>122.58</v>
      </c>
      <c r="D496" s="35">
        <v>297.94099999999997</v>
      </c>
      <c r="E496" s="41">
        <v>729.47900000000004</v>
      </c>
      <c r="F496" s="35">
        <v>1150</v>
      </c>
      <c r="G496" s="35">
        <v>100</v>
      </c>
      <c r="H496" s="43">
        <v>600</v>
      </c>
      <c r="I496" s="35">
        <v>695</v>
      </c>
      <c r="J496" s="35">
        <v>50</v>
      </c>
      <c r="K496" s="36"/>
      <c r="L496" s="36"/>
      <c r="M496" s="36"/>
      <c r="N496" s="36"/>
      <c r="O496" s="36"/>
      <c r="P496" s="36"/>
      <c r="Q496" s="36"/>
      <c r="R496" s="36"/>
      <c r="S496" s="36"/>
      <c r="T496" s="36"/>
    </row>
    <row r="497" spans="1:20" ht="15.75">
      <c r="A497" s="13">
        <v>56645</v>
      </c>
      <c r="B497" s="44">
        <v>31</v>
      </c>
      <c r="C497" s="35">
        <v>122.58</v>
      </c>
      <c r="D497" s="35">
        <v>297.94099999999997</v>
      </c>
      <c r="E497" s="41">
        <v>729.47900000000004</v>
      </c>
      <c r="F497" s="35">
        <v>1150</v>
      </c>
      <c r="G497" s="35">
        <v>100</v>
      </c>
      <c r="H497" s="43">
        <v>600</v>
      </c>
      <c r="I497" s="35">
        <v>695</v>
      </c>
      <c r="J497" s="35">
        <v>50</v>
      </c>
      <c r="K497" s="36"/>
      <c r="L497" s="36"/>
      <c r="M497" s="36"/>
      <c r="N497" s="36"/>
      <c r="O497" s="36"/>
      <c r="P497" s="36"/>
      <c r="Q497" s="36"/>
      <c r="R497" s="36"/>
      <c r="S497" s="36"/>
      <c r="T497" s="36"/>
    </row>
    <row r="498" spans="1:20" ht="15.75">
      <c r="A498" s="13">
        <v>56673</v>
      </c>
      <c r="B498" s="44">
        <v>28</v>
      </c>
      <c r="C498" s="35">
        <v>122.58</v>
      </c>
      <c r="D498" s="35">
        <v>297.94099999999997</v>
      </c>
      <c r="E498" s="41">
        <v>729.47900000000004</v>
      </c>
      <c r="F498" s="35">
        <v>1150</v>
      </c>
      <c r="G498" s="35">
        <v>100</v>
      </c>
      <c r="H498" s="43">
        <v>600</v>
      </c>
      <c r="I498" s="35">
        <v>695</v>
      </c>
      <c r="J498" s="35">
        <v>50</v>
      </c>
      <c r="K498" s="36"/>
      <c r="L498" s="36"/>
      <c r="M498" s="36"/>
      <c r="N498" s="36"/>
      <c r="O498" s="36"/>
      <c r="P498" s="36"/>
      <c r="Q498" s="36"/>
      <c r="R498" s="36"/>
      <c r="S498" s="36"/>
      <c r="T498" s="36"/>
    </row>
    <row r="499" spans="1:20" ht="15.75">
      <c r="A499" s="13">
        <v>56704</v>
      </c>
      <c r="B499" s="44">
        <v>31</v>
      </c>
      <c r="C499" s="35">
        <v>122.58</v>
      </c>
      <c r="D499" s="35">
        <v>297.94099999999997</v>
      </c>
      <c r="E499" s="41">
        <v>729.47900000000004</v>
      </c>
      <c r="F499" s="35">
        <v>1150</v>
      </c>
      <c r="G499" s="35">
        <v>100</v>
      </c>
      <c r="H499" s="43">
        <v>600</v>
      </c>
      <c r="I499" s="35">
        <v>695</v>
      </c>
      <c r="J499" s="35">
        <v>50</v>
      </c>
      <c r="K499" s="36"/>
      <c r="L499" s="36"/>
      <c r="M499" s="36"/>
      <c r="N499" s="36"/>
      <c r="O499" s="36"/>
      <c r="P499" s="36"/>
      <c r="Q499" s="36"/>
      <c r="R499" s="36"/>
      <c r="S499" s="36"/>
      <c r="T499" s="36"/>
    </row>
    <row r="500" spans="1:20" ht="15.75">
      <c r="A500" s="13">
        <v>56734</v>
      </c>
      <c r="B500" s="44">
        <v>30</v>
      </c>
      <c r="C500" s="35">
        <v>141.29300000000001</v>
      </c>
      <c r="D500" s="35">
        <v>267.99299999999999</v>
      </c>
      <c r="E500" s="41">
        <v>829.71400000000006</v>
      </c>
      <c r="F500" s="35">
        <v>1239</v>
      </c>
      <c r="G500" s="35">
        <v>100</v>
      </c>
      <c r="H500" s="43">
        <v>600</v>
      </c>
      <c r="I500" s="35">
        <v>695</v>
      </c>
      <c r="J500" s="35">
        <v>50</v>
      </c>
      <c r="K500" s="36"/>
      <c r="L500" s="36"/>
      <c r="M500" s="36"/>
      <c r="N500" s="36"/>
      <c r="O500" s="36"/>
      <c r="P500" s="36"/>
      <c r="Q500" s="36"/>
      <c r="R500" s="36"/>
      <c r="S500" s="36"/>
      <c r="T500" s="36"/>
    </row>
    <row r="501" spans="1:20" ht="15.75">
      <c r="A501" s="13">
        <v>56765</v>
      </c>
      <c r="B501" s="44">
        <v>31</v>
      </c>
      <c r="C501" s="35">
        <v>194.20500000000001</v>
      </c>
      <c r="D501" s="35">
        <v>267.46600000000001</v>
      </c>
      <c r="E501" s="41">
        <v>812.32899999999995</v>
      </c>
      <c r="F501" s="35">
        <v>1274</v>
      </c>
      <c r="G501" s="35">
        <v>75</v>
      </c>
      <c r="H501" s="43">
        <v>600</v>
      </c>
      <c r="I501" s="35">
        <v>695</v>
      </c>
      <c r="J501" s="35">
        <v>50</v>
      </c>
      <c r="K501" s="36"/>
      <c r="L501" s="36"/>
      <c r="M501" s="36"/>
      <c r="N501" s="36"/>
      <c r="O501" s="36"/>
      <c r="P501" s="36"/>
      <c r="Q501" s="36"/>
      <c r="R501" s="36"/>
      <c r="S501" s="36"/>
      <c r="T501" s="36"/>
    </row>
    <row r="502" spans="1:20" ht="15.75">
      <c r="A502" s="13">
        <v>56795</v>
      </c>
      <c r="B502" s="44">
        <v>30</v>
      </c>
      <c r="C502" s="35">
        <v>194.20500000000001</v>
      </c>
      <c r="D502" s="35">
        <v>267.46600000000001</v>
      </c>
      <c r="E502" s="41">
        <v>812.32899999999995</v>
      </c>
      <c r="F502" s="35">
        <v>1274</v>
      </c>
      <c r="G502" s="35">
        <v>50</v>
      </c>
      <c r="H502" s="43">
        <v>600</v>
      </c>
      <c r="I502" s="35">
        <v>695</v>
      </c>
      <c r="J502" s="35">
        <v>50</v>
      </c>
      <c r="K502" s="36"/>
      <c r="L502" s="36"/>
      <c r="M502" s="36"/>
      <c r="N502" s="36"/>
      <c r="O502" s="36"/>
      <c r="P502" s="36"/>
      <c r="Q502" s="36"/>
      <c r="R502" s="36"/>
      <c r="S502" s="36"/>
      <c r="T502" s="36"/>
    </row>
    <row r="503" spans="1:20" ht="15.75">
      <c r="A503" s="13">
        <v>56826</v>
      </c>
      <c r="B503" s="44">
        <v>31</v>
      </c>
      <c r="C503" s="35">
        <v>194.20500000000001</v>
      </c>
      <c r="D503" s="35">
        <v>267.46600000000001</v>
      </c>
      <c r="E503" s="41">
        <v>812.32899999999995</v>
      </c>
      <c r="F503" s="35">
        <v>1274</v>
      </c>
      <c r="G503" s="35">
        <v>50</v>
      </c>
      <c r="H503" s="43">
        <v>600</v>
      </c>
      <c r="I503" s="35">
        <v>695</v>
      </c>
      <c r="J503" s="35">
        <v>0</v>
      </c>
      <c r="K503" s="36"/>
      <c r="L503" s="36"/>
      <c r="M503" s="36"/>
      <c r="N503" s="36"/>
      <c r="O503" s="36"/>
      <c r="P503" s="36"/>
      <c r="Q503" s="36"/>
      <c r="R503" s="36"/>
      <c r="S503" s="36"/>
      <c r="T503" s="36"/>
    </row>
    <row r="504" spans="1:20" ht="15.75">
      <c r="A504" s="13">
        <v>56857</v>
      </c>
      <c r="B504" s="44">
        <v>31</v>
      </c>
      <c r="C504" s="35">
        <v>194.20500000000001</v>
      </c>
      <c r="D504" s="35">
        <v>267.46600000000001</v>
      </c>
      <c r="E504" s="41">
        <v>812.32899999999995</v>
      </c>
      <c r="F504" s="35">
        <v>1274</v>
      </c>
      <c r="G504" s="35">
        <v>50</v>
      </c>
      <c r="H504" s="43">
        <v>600</v>
      </c>
      <c r="I504" s="35">
        <v>695</v>
      </c>
      <c r="J504" s="35">
        <v>0</v>
      </c>
      <c r="K504" s="36"/>
      <c r="L504" s="36"/>
      <c r="M504" s="36"/>
      <c r="N504" s="36"/>
      <c r="O504" s="36"/>
      <c r="P504" s="36"/>
      <c r="Q504" s="36"/>
      <c r="R504" s="36"/>
      <c r="S504" s="36"/>
      <c r="T504" s="36"/>
    </row>
    <row r="505" spans="1:20" ht="15.75">
      <c r="A505" s="13">
        <v>56887</v>
      </c>
      <c r="B505" s="44">
        <v>30</v>
      </c>
      <c r="C505" s="35">
        <v>194.20500000000001</v>
      </c>
      <c r="D505" s="35">
        <v>267.46600000000001</v>
      </c>
      <c r="E505" s="41">
        <v>812.32899999999995</v>
      </c>
      <c r="F505" s="35">
        <v>1274</v>
      </c>
      <c r="G505" s="35">
        <v>50</v>
      </c>
      <c r="H505" s="43">
        <v>600</v>
      </c>
      <c r="I505" s="35">
        <v>695</v>
      </c>
      <c r="J505" s="35">
        <v>0</v>
      </c>
      <c r="K505" s="36"/>
      <c r="L505" s="36"/>
      <c r="M505" s="36"/>
      <c r="N505" s="36"/>
      <c r="O505" s="36"/>
      <c r="P505" s="36"/>
      <c r="Q505" s="36"/>
      <c r="R505" s="36"/>
      <c r="S505" s="36"/>
      <c r="T505" s="36"/>
    </row>
    <row r="506" spans="1:20" ht="15.75">
      <c r="A506" s="13">
        <v>56918</v>
      </c>
      <c r="B506" s="44">
        <v>31</v>
      </c>
      <c r="C506" s="35">
        <v>131.881</v>
      </c>
      <c r="D506" s="35">
        <v>277.16699999999997</v>
      </c>
      <c r="E506" s="41">
        <v>829.952</v>
      </c>
      <c r="F506" s="35">
        <v>1239</v>
      </c>
      <c r="G506" s="35">
        <v>75</v>
      </c>
      <c r="H506" s="43">
        <v>600</v>
      </c>
      <c r="I506" s="35">
        <v>695</v>
      </c>
      <c r="J506" s="35">
        <v>0</v>
      </c>
      <c r="K506" s="36"/>
      <c r="L506" s="36"/>
      <c r="M506" s="36"/>
      <c r="N506" s="36"/>
      <c r="O506" s="36"/>
      <c r="P506" s="36"/>
      <c r="Q506" s="36"/>
      <c r="R506" s="36"/>
      <c r="S506" s="36"/>
      <c r="T506" s="36"/>
    </row>
    <row r="507" spans="1:20" ht="15.75">
      <c r="A507" s="13">
        <v>56948</v>
      </c>
      <c r="B507" s="44">
        <v>30</v>
      </c>
      <c r="C507" s="35">
        <v>122.58</v>
      </c>
      <c r="D507" s="35">
        <v>297.94099999999997</v>
      </c>
      <c r="E507" s="41">
        <v>729.47900000000004</v>
      </c>
      <c r="F507" s="35">
        <v>1150</v>
      </c>
      <c r="G507" s="35">
        <v>100</v>
      </c>
      <c r="H507" s="43">
        <v>600</v>
      </c>
      <c r="I507" s="35">
        <v>695</v>
      </c>
      <c r="J507" s="35">
        <v>50</v>
      </c>
      <c r="K507" s="36"/>
      <c r="L507" s="36"/>
      <c r="M507" s="36"/>
      <c r="N507" s="36"/>
      <c r="O507" s="36"/>
      <c r="P507" s="36"/>
      <c r="Q507" s="36"/>
      <c r="R507" s="36"/>
      <c r="S507" s="36"/>
      <c r="T507" s="36"/>
    </row>
    <row r="508" spans="1:20" ht="15.75">
      <c r="A508" s="13">
        <v>56979</v>
      </c>
      <c r="B508" s="44">
        <v>31</v>
      </c>
      <c r="C508" s="35">
        <v>122.58</v>
      </c>
      <c r="D508" s="35">
        <v>297.94099999999997</v>
      </c>
      <c r="E508" s="41">
        <v>729.47900000000004</v>
      </c>
      <c r="F508" s="35">
        <v>1150</v>
      </c>
      <c r="G508" s="35">
        <v>100</v>
      </c>
      <c r="H508" s="43">
        <v>600</v>
      </c>
      <c r="I508" s="35">
        <v>695</v>
      </c>
      <c r="J508" s="35">
        <v>50</v>
      </c>
      <c r="K508" s="36"/>
      <c r="L508" s="36"/>
      <c r="M508" s="36"/>
      <c r="N508" s="36"/>
      <c r="O508" s="36"/>
      <c r="P508" s="36"/>
      <c r="Q508" s="36"/>
      <c r="R508" s="36"/>
      <c r="S508" s="36"/>
      <c r="T508" s="36"/>
    </row>
    <row r="509" spans="1:20" ht="15.75">
      <c r="A509" s="13">
        <v>57010</v>
      </c>
      <c r="B509" s="44">
        <v>31</v>
      </c>
      <c r="C509" s="35">
        <v>122.58</v>
      </c>
      <c r="D509" s="35">
        <v>297.94099999999997</v>
      </c>
      <c r="E509" s="41">
        <v>729.47900000000004</v>
      </c>
      <c r="F509" s="35">
        <v>1150</v>
      </c>
      <c r="G509" s="35">
        <v>100</v>
      </c>
      <c r="H509" s="43">
        <v>600</v>
      </c>
      <c r="I509" s="35">
        <v>695</v>
      </c>
      <c r="J509" s="35">
        <v>50</v>
      </c>
      <c r="K509" s="36"/>
      <c r="L509" s="36"/>
      <c r="M509" s="36"/>
      <c r="N509" s="36"/>
      <c r="O509" s="36"/>
      <c r="P509" s="36"/>
      <c r="Q509" s="36"/>
      <c r="R509" s="36"/>
      <c r="S509" s="36"/>
      <c r="T509" s="36"/>
    </row>
    <row r="510" spans="1:20" ht="15.75">
      <c r="A510" s="13">
        <v>57038</v>
      </c>
      <c r="B510" s="44">
        <v>29</v>
      </c>
      <c r="C510" s="35">
        <v>122.58</v>
      </c>
      <c r="D510" s="35">
        <v>297.94099999999997</v>
      </c>
      <c r="E510" s="41">
        <v>729.47900000000004</v>
      </c>
      <c r="F510" s="35">
        <v>1150</v>
      </c>
      <c r="G510" s="35">
        <v>100</v>
      </c>
      <c r="H510" s="43">
        <v>600</v>
      </c>
      <c r="I510" s="35">
        <v>695</v>
      </c>
      <c r="J510" s="35">
        <v>50</v>
      </c>
      <c r="K510" s="36"/>
      <c r="L510" s="36"/>
      <c r="M510" s="36"/>
      <c r="N510" s="36"/>
      <c r="O510" s="36"/>
      <c r="P510" s="36"/>
      <c r="Q510" s="36"/>
      <c r="R510" s="36"/>
      <c r="S510" s="36"/>
      <c r="T510" s="36"/>
    </row>
    <row r="511" spans="1:20" ht="15.75">
      <c r="A511" s="13">
        <v>57070</v>
      </c>
      <c r="B511" s="44">
        <v>31</v>
      </c>
      <c r="C511" s="35">
        <v>122.58</v>
      </c>
      <c r="D511" s="35">
        <v>297.94099999999997</v>
      </c>
      <c r="E511" s="41">
        <v>729.47900000000004</v>
      </c>
      <c r="F511" s="35">
        <v>1150</v>
      </c>
      <c r="G511" s="35">
        <v>100</v>
      </c>
      <c r="H511" s="43">
        <v>600</v>
      </c>
      <c r="I511" s="35">
        <v>695</v>
      </c>
      <c r="J511" s="35">
        <v>50</v>
      </c>
      <c r="K511" s="36"/>
      <c r="L511" s="36"/>
      <c r="M511" s="36"/>
      <c r="N511" s="36"/>
      <c r="O511" s="36"/>
      <c r="P511" s="36"/>
      <c r="Q511" s="36"/>
      <c r="R511" s="36"/>
      <c r="S511" s="36"/>
      <c r="T511" s="36"/>
    </row>
    <row r="512" spans="1:20" ht="15.75">
      <c r="A512" s="13">
        <v>57100</v>
      </c>
      <c r="B512" s="44">
        <v>30</v>
      </c>
      <c r="C512" s="35">
        <v>141.29300000000001</v>
      </c>
      <c r="D512" s="35">
        <v>267.99299999999999</v>
      </c>
      <c r="E512" s="41">
        <v>829.71400000000006</v>
      </c>
      <c r="F512" s="35">
        <v>1239</v>
      </c>
      <c r="G512" s="35">
        <v>100</v>
      </c>
      <c r="H512" s="43">
        <v>600</v>
      </c>
      <c r="I512" s="35">
        <v>695</v>
      </c>
      <c r="J512" s="35">
        <v>50</v>
      </c>
      <c r="K512" s="36"/>
      <c r="L512" s="36"/>
      <c r="M512" s="36"/>
      <c r="N512" s="36"/>
      <c r="O512" s="36"/>
      <c r="P512" s="36"/>
      <c r="Q512" s="36"/>
      <c r="R512" s="36"/>
      <c r="S512" s="36"/>
      <c r="T512" s="36"/>
    </row>
    <row r="513" spans="1:20" ht="15.75">
      <c r="A513" s="13">
        <v>57131</v>
      </c>
      <c r="B513" s="44">
        <v>31</v>
      </c>
      <c r="C513" s="35">
        <v>194.20500000000001</v>
      </c>
      <c r="D513" s="35">
        <v>267.46600000000001</v>
      </c>
      <c r="E513" s="41">
        <v>812.32899999999995</v>
      </c>
      <c r="F513" s="35">
        <v>1274</v>
      </c>
      <c r="G513" s="35">
        <v>75</v>
      </c>
      <c r="H513" s="43">
        <v>600</v>
      </c>
      <c r="I513" s="35">
        <v>695</v>
      </c>
      <c r="J513" s="35">
        <v>50</v>
      </c>
      <c r="K513" s="36"/>
      <c r="L513" s="36"/>
      <c r="M513" s="36"/>
      <c r="N513" s="36"/>
      <c r="O513" s="36"/>
      <c r="P513" s="36"/>
      <c r="Q513" s="36"/>
      <c r="R513" s="36"/>
      <c r="S513" s="36"/>
      <c r="T513" s="36"/>
    </row>
    <row r="514" spans="1:20" ht="15.75">
      <c r="A514" s="13">
        <v>57161</v>
      </c>
      <c r="B514" s="44">
        <v>30</v>
      </c>
      <c r="C514" s="35">
        <v>194.20500000000001</v>
      </c>
      <c r="D514" s="35">
        <v>267.46600000000001</v>
      </c>
      <c r="E514" s="41">
        <v>812.32899999999995</v>
      </c>
      <c r="F514" s="35">
        <v>1274</v>
      </c>
      <c r="G514" s="35">
        <v>50</v>
      </c>
      <c r="H514" s="43">
        <v>600</v>
      </c>
      <c r="I514" s="35">
        <v>695</v>
      </c>
      <c r="J514" s="35">
        <v>50</v>
      </c>
      <c r="K514" s="36"/>
      <c r="L514" s="36"/>
      <c r="M514" s="36"/>
      <c r="N514" s="36"/>
      <c r="O514" s="36"/>
      <c r="P514" s="36"/>
      <c r="Q514" s="36"/>
      <c r="R514" s="36"/>
      <c r="S514" s="36"/>
      <c r="T514" s="36"/>
    </row>
    <row r="515" spans="1:20" ht="15.75">
      <c r="A515" s="13">
        <v>57192</v>
      </c>
      <c r="B515" s="44">
        <v>31</v>
      </c>
      <c r="C515" s="35">
        <v>194.20500000000001</v>
      </c>
      <c r="D515" s="35">
        <v>267.46600000000001</v>
      </c>
      <c r="E515" s="41">
        <v>812.32899999999995</v>
      </c>
      <c r="F515" s="35">
        <v>1274</v>
      </c>
      <c r="G515" s="35">
        <v>50</v>
      </c>
      <c r="H515" s="43">
        <v>600</v>
      </c>
      <c r="I515" s="35">
        <v>695</v>
      </c>
      <c r="J515" s="35">
        <v>0</v>
      </c>
      <c r="K515" s="36"/>
      <c r="L515" s="36"/>
      <c r="M515" s="36"/>
      <c r="N515" s="36"/>
      <c r="O515" s="36"/>
      <c r="P515" s="36"/>
      <c r="Q515" s="36"/>
      <c r="R515" s="36"/>
      <c r="S515" s="36"/>
      <c r="T515" s="36"/>
    </row>
    <row r="516" spans="1:20" ht="15.75">
      <c r="A516" s="13">
        <v>57223</v>
      </c>
      <c r="B516" s="44">
        <v>31</v>
      </c>
      <c r="C516" s="35">
        <v>194.20500000000001</v>
      </c>
      <c r="D516" s="35">
        <v>267.46600000000001</v>
      </c>
      <c r="E516" s="41">
        <v>812.32899999999995</v>
      </c>
      <c r="F516" s="35">
        <v>1274</v>
      </c>
      <c r="G516" s="35">
        <v>50</v>
      </c>
      <c r="H516" s="43">
        <v>600</v>
      </c>
      <c r="I516" s="35">
        <v>695</v>
      </c>
      <c r="J516" s="35">
        <v>0</v>
      </c>
      <c r="K516" s="36"/>
      <c r="L516" s="36"/>
      <c r="M516" s="36"/>
      <c r="N516" s="36"/>
      <c r="O516" s="36"/>
      <c r="P516" s="36"/>
      <c r="Q516" s="36"/>
      <c r="R516" s="36"/>
      <c r="S516" s="36"/>
      <c r="T516" s="36"/>
    </row>
    <row r="517" spans="1:20" ht="15.75">
      <c r="A517" s="13">
        <v>57253</v>
      </c>
      <c r="B517" s="44">
        <v>30</v>
      </c>
      <c r="C517" s="35">
        <v>194.20500000000001</v>
      </c>
      <c r="D517" s="35">
        <v>267.46600000000001</v>
      </c>
      <c r="E517" s="41">
        <v>812.32899999999995</v>
      </c>
      <c r="F517" s="35">
        <v>1274</v>
      </c>
      <c r="G517" s="35">
        <v>50</v>
      </c>
      <c r="H517" s="43">
        <v>600</v>
      </c>
      <c r="I517" s="35">
        <v>695</v>
      </c>
      <c r="J517" s="35">
        <v>0</v>
      </c>
      <c r="K517" s="36"/>
      <c r="L517" s="36"/>
      <c r="M517" s="36"/>
      <c r="N517" s="36"/>
      <c r="O517" s="36"/>
      <c r="P517" s="36"/>
      <c r="Q517" s="36"/>
      <c r="R517" s="36"/>
      <c r="S517" s="36"/>
      <c r="T517" s="36"/>
    </row>
    <row r="518" spans="1:20" ht="15.75">
      <c r="A518" s="13">
        <v>57284</v>
      </c>
      <c r="B518" s="44">
        <v>31</v>
      </c>
      <c r="C518" s="35">
        <v>131.881</v>
      </c>
      <c r="D518" s="35">
        <v>277.16699999999997</v>
      </c>
      <c r="E518" s="41">
        <v>829.952</v>
      </c>
      <c r="F518" s="35">
        <v>1239</v>
      </c>
      <c r="G518" s="35">
        <v>75</v>
      </c>
      <c r="H518" s="43">
        <v>600</v>
      </c>
      <c r="I518" s="35">
        <v>695</v>
      </c>
      <c r="J518" s="35">
        <v>0</v>
      </c>
      <c r="K518" s="36"/>
      <c r="L518" s="36"/>
      <c r="M518" s="36"/>
      <c r="N518" s="36"/>
      <c r="O518" s="36"/>
      <c r="P518" s="36"/>
      <c r="Q518" s="36"/>
      <c r="R518" s="36"/>
      <c r="S518" s="36"/>
      <c r="T518" s="36"/>
    </row>
    <row r="519" spans="1:20" ht="15.75">
      <c r="A519" s="13">
        <v>57314</v>
      </c>
      <c r="B519" s="44">
        <v>30</v>
      </c>
      <c r="C519" s="35">
        <v>122.58</v>
      </c>
      <c r="D519" s="35">
        <v>297.94099999999997</v>
      </c>
      <c r="E519" s="41">
        <v>729.47900000000004</v>
      </c>
      <c r="F519" s="35">
        <v>1150</v>
      </c>
      <c r="G519" s="35">
        <v>100</v>
      </c>
      <c r="H519" s="43">
        <v>600</v>
      </c>
      <c r="I519" s="35">
        <v>695</v>
      </c>
      <c r="J519" s="35">
        <v>50</v>
      </c>
      <c r="K519" s="36"/>
      <c r="L519" s="36"/>
      <c r="M519" s="36"/>
      <c r="N519" s="36"/>
      <c r="O519" s="36"/>
      <c r="P519" s="36"/>
      <c r="Q519" s="36"/>
      <c r="R519" s="36"/>
      <c r="S519" s="36"/>
      <c r="T519" s="36"/>
    </row>
    <row r="520" spans="1:20" ht="15.75">
      <c r="A520" s="13">
        <v>57345</v>
      </c>
      <c r="B520" s="44">
        <v>31</v>
      </c>
      <c r="C520" s="35">
        <v>122.58</v>
      </c>
      <c r="D520" s="35">
        <v>297.94099999999997</v>
      </c>
      <c r="E520" s="41">
        <v>729.47900000000004</v>
      </c>
      <c r="F520" s="35">
        <v>1150</v>
      </c>
      <c r="G520" s="35">
        <v>100</v>
      </c>
      <c r="H520" s="43">
        <v>600</v>
      </c>
      <c r="I520" s="35">
        <v>695</v>
      </c>
      <c r="J520" s="35">
        <v>50</v>
      </c>
      <c r="K520" s="36"/>
      <c r="L520" s="36"/>
      <c r="M520" s="36"/>
      <c r="N520" s="36"/>
      <c r="O520" s="36"/>
      <c r="P520" s="36"/>
      <c r="Q520" s="36"/>
      <c r="R520" s="36"/>
      <c r="S520" s="36"/>
      <c r="T520" s="36"/>
    </row>
    <row r="521" spans="1:20" ht="15.75">
      <c r="A521" s="13">
        <v>57376</v>
      </c>
      <c r="B521" s="44">
        <v>31</v>
      </c>
      <c r="C521" s="35">
        <v>122.58</v>
      </c>
      <c r="D521" s="35">
        <v>297.94099999999997</v>
      </c>
      <c r="E521" s="41">
        <v>729.47900000000004</v>
      </c>
      <c r="F521" s="35">
        <v>1150</v>
      </c>
      <c r="G521" s="35">
        <v>100</v>
      </c>
      <c r="H521" s="43">
        <v>600</v>
      </c>
      <c r="I521" s="35">
        <v>695</v>
      </c>
      <c r="J521" s="35">
        <v>50</v>
      </c>
      <c r="K521" s="36"/>
      <c r="L521" s="36"/>
      <c r="M521" s="36"/>
      <c r="N521" s="36"/>
      <c r="O521" s="36"/>
      <c r="P521" s="36"/>
      <c r="Q521" s="36"/>
      <c r="R521" s="36"/>
      <c r="S521" s="36"/>
      <c r="T521" s="36"/>
    </row>
    <row r="522" spans="1:20" ht="15.75">
      <c r="A522" s="13">
        <v>57404</v>
      </c>
      <c r="B522" s="44">
        <v>28</v>
      </c>
      <c r="C522" s="35">
        <v>122.58</v>
      </c>
      <c r="D522" s="35">
        <v>297.94099999999997</v>
      </c>
      <c r="E522" s="41">
        <v>729.47900000000004</v>
      </c>
      <c r="F522" s="35">
        <v>1150</v>
      </c>
      <c r="G522" s="35">
        <v>100</v>
      </c>
      <c r="H522" s="43">
        <v>600</v>
      </c>
      <c r="I522" s="35">
        <v>695</v>
      </c>
      <c r="J522" s="35">
        <v>50</v>
      </c>
      <c r="K522" s="36"/>
      <c r="L522" s="36"/>
      <c r="M522" s="36"/>
      <c r="N522" s="36"/>
      <c r="O522" s="36"/>
      <c r="P522" s="36"/>
      <c r="Q522" s="36"/>
      <c r="R522" s="36"/>
      <c r="S522" s="36"/>
      <c r="T522" s="36"/>
    </row>
    <row r="523" spans="1:20" ht="15.75">
      <c r="A523" s="13">
        <v>57435</v>
      </c>
      <c r="B523" s="44">
        <v>31</v>
      </c>
      <c r="C523" s="35">
        <v>122.58</v>
      </c>
      <c r="D523" s="35">
        <v>297.94099999999997</v>
      </c>
      <c r="E523" s="41">
        <v>729.47900000000004</v>
      </c>
      <c r="F523" s="35">
        <v>1150</v>
      </c>
      <c r="G523" s="35">
        <v>100</v>
      </c>
      <c r="H523" s="43">
        <v>600</v>
      </c>
      <c r="I523" s="35">
        <v>695</v>
      </c>
      <c r="J523" s="35">
        <v>50</v>
      </c>
      <c r="K523" s="36"/>
      <c r="L523" s="36"/>
      <c r="M523" s="36"/>
      <c r="N523" s="36"/>
      <c r="O523" s="36"/>
      <c r="P523" s="36"/>
      <c r="Q523" s="36"/>
      <c r="R523" s="36"/>
      <c r="S523" s="36"/>
      <c r="T523" s="36"/>
    </row>
    <row r="524" spans="1:20" ht="15.75">
      <c r="A524" s="13">
        <v>57465</v>
      </c>
      <c r="B524" s="44">
        <v>30</v>
      </c>
      <c r="C524" s="35">
        <v>141.29300000000001</v>
      </c>
      <c r="D524" s="35">
        <v>267.99299999999999</v>
      </c>
      <c r="E524" s="41">
        <v>829.71400000000006</v>
      </c>
      <c r="F524" s="35">
        <v>1239</v>
      </c>
      <c r="G524" s="35">
        <v>100</v>
      </c>
      <c r="H524" s="43">
        <v>600</v>
      </c>
      <c r="I524" s="35">
        <v>695</v>
      </c>
      <c r="J524" s="35">
        <v>50</v>
      </c>
      <c r="K524" s="36"/>
      <c r="L524" s="36"/>
      <c r="M524" s="36"/>
      <c r="N524" s="36"/>
      <c r="O524" s="36"/>
      <c r="P524" s="36"/>
      <c r="Q524" s="36"/>
      <c r="R524" s="36"/>
      <c r="S524" s="36"/>
      <c r="T524" s="36"/>
    </row>
    <row r="525" spans="1:20" ht="15.75">
      <c r="A525" s="13">
        <v>57496</v>
      </c>
      <c r="B525" s="44">
        <v>31</v>
      </c>
      <c r="C525" s="35">
        <v>194.20500000000001</v>
      </c>
      <c r="D525" s="35">
        <v>267.46600000000001</v>
      </c>
      <c r="E525" s="41">
        <v>812.32899999999995</v>
      </c>
      <c r="F525" s="35">
        <v>1274</v>
      </c>
      <c r="G525" s="35">
        <v>75</v>
      </c>
      <c r="H525" s="43">
        <v>600</v>
      </c>
      <c r="I525" s="35">
        <v>695</v>
      </c>
      <c r="J525" s="35">
        <v>50</v>
      </c>
      <c r="K525" s="36"/>
      <c r="L525" s="36"/>
      <c r="M525" s="36"/>
      <c r="N525" s="36"/>
      <c r="O525" s="36"/>
      <c r="P525" s="36"/>
      <c r="Q525" s="36"/>
      <c r="R525" s="36"/>
      <c r="S525" s="36"/>
      <c r="T525" s="36"/>
    </row>
    <row r="526" spans="1:20" ht="15.75">
      <c r="A526" s="13">
        <v>57526</v>
      </c>
      <c r="B526" s="44">
        <v>30</v>
      </c>
      <c r="C526" s="35">
        <v>194.20500000000001</v>
      </c>
      <c r="D526" s="35">
        <v>267.46600000000001</v>
      </c>
      <c r="E526" s="41">
        <v>812.32899999999995</v>
      </c>
      <c r="F526" s="35">
        <v>1274</v>
      </c>
      <c r="G526" s="35">
        <v>50</v>
      </c>
      <c r="H526" s="43">
        <v>600</v>
      </c>
      <c r="I526" s="35">
        <v>695</v>
      </c>
      <c r="J526" s="35">
        <v>50</v>
      </c>
      <c r="K526" s="36"/>
      <c r="L526" s="36"/>
      <c r="M526" s="36"/>
      <c r="N526" s="36"/>
      <c r="O526" s="36"/>
      <c r="P526" s="36"/>
      <c r="Q526" s="36"/>
      <c r="R526" s="36"/>
      <c r="S526" s="36"/>
      <c r="T526" s="36"/>
    </row>
    <row r="527" spans="1:20" ht="15.75">
      <c r="A527" s="13">
        <v>57557</v>
      </c>
      <c r="B527" s="44">
        <v>31</v>
      </c>
      <c r="C527" s="35">
        <v>194.20500000000001</v>
      </c>
      <c r="D527" s="35">
        <v>267.46600000000001</v>
      </c>
      <c r="E527" s="41">
        <v>812.32899999999995</v>
      </c>
      <c r="F527" s="35">
        <v>1274</v>
      </c>
      <c r="G527" s="35">
        <v>50</v>
      </c>
      <c r="H527" s="43">
        <v>600</v>
      </c>
      <c r="I527" s="35">
        <v>695</v>
      </c>
      <c r="J527" s="35">
        <v>0</v>
      </c>
      <c r="K527" s="36"/>
      <c r="L527" s="36"/>
      <c r="M527" s="36"/>
      <c r="N527" s="36"/>
      <c r="O527" s="36"/>
      <c r="P527" s="36"/>
      <c r="Q527" s="36"/>
      <c r="R527" s="36"/>
      <c r="S527" s="36"/>
      <c r="T527" s="36"/>
    </row>
    <row r="528" spans="1:20" ht="15.75">
      <c r="A528" s="13">
        <v>57588</v>
      </c>
      <c r="B528" s="44">
        <v>31</v>
      </c>
      <c r="C528" s="35">
        <v>194.20500000000001</v>
      </c>
      <c r="D528" s="35">
        <v>267.46600000000001</v>
      </c>
      <c r="E528" s="41">
        <v>812.32899999999995</v>
      </c>
      <c r="F528" s="35">
        <v>1274</v>
      </c>
      <c r="G528" s="35">
        <v>50</v>
      </c>
      <c r="H528" s="43">
        <v>600</v>
      </c>
      <c r="I528" s="35">
        <v>695</v>
      </c>
      <c r="J528" s="35">
        <v>0</v>
      </c>
      <c r="K528" s="36"/>
      <c r="L528" s="36"/>
      <c r="M528" s="36"/>
      <c r="N528" s="36"/>
      <c r="O528" s="36"/>
      <c r="P528" s="36"/>
      <c r="Q528" s="36"/>
      <c r="R528" s="36"/>
      <c r="S528" s="36"/>
      <c r="T528" s="36"/>
    </row>
    <row r="529" spans="1:20" ht="15.75">
      <c r="A529" s="13">
        <v>57618</v>
      </c>
      <c r="B529" s="44">
        <v>30</v>
      </c>
      <c r="C529" s="35">
        <v>194.20500000000001</v>
      </c>
      <c r="D529" s="35">
        <v>267.46600000000001</v>
      </c>
      <c r="E529" s="41">
        <v>812.32899999999995</v>
      </c>
      <c r="F529" s="35">
        <v>1274</v>
      </c>
      <c r="G529" s="35">
        <v>50</v>
      </c>
      <c r="H529" s="43">
        <v>600</v>
      </c>
      <c r="I529" s="35">
        <v>695</v>
      </c>
      <c r="J529" s="35">
        <v>0</v>
      </c>
      <c r="K529" s="36"/>
      <c r="L529" s="36"/>
      <c r="M529" s="36"/>
      <c r="N529" s="36"/>
      <c r="O529" s="36"/>
      <c r="P529" s="36"/>
      <c r="Q529" s="36"/>
      <c r="R529" s="36"/>
      <c r="S529" s="36"/>
      <c r="T529" s="36"/>
    </row>
    <row r="530" spans="1:20" ht="15.75">
      <c r="A530" s="13">
        <v>57649</v>
      </c>
      <c r="B530" s="44">
        <v>31</v>
      </c>
      <c r="C530" s="35">
        <v>131.881</v>
      </c>
      <c r="D530" s="35">
        <v>277.16699999999997</v>
      </c>
      <c r="E530" s="41">
        <v>829.952</v>
      </c>
      <c r="F530" s="35">
        <v>1239</v>
      </c>
      <c r="G530" s="35">
        <v>75</v>
      </c>
      <c r="H530" s="43">
        <v>600</v>
      </c>
      <c r="I530" s="35">
        <v>695</v>
      </c>
      <c r="J530" s="35">
        <v>0</v>
      </c>
      <c r="K530" s="36"/>
      <c r="L530" s="36"/>
      <c r="M530" s="36"/>
      <c r="N530" s="36"/>
      <c r="O530" s="36"/>
      <c r="P530" s="36"/>
      <c r="Q530" s="36"/>
      <c r="R530" s="36"/>
      <c r="S530" s="36"/>
      <c r="T530" s="36"/>
    </row>
    <row r="531" spans="1:20" ht="15.75">
      <c r="A531" s="13">
        <v>57679</v>
      </c>
      <c r="B531" s="44">
        <v>30</v>
      </c>
      <c r="C531" s="35">
        <v>122.58</v>
      </c>
      <c r="D531" s="35">
        <v>297.94099999999997</v>
      </c>
      <c r="E531" s="41">
        <v>729.47900000000004</v>
      </c>
      <c r="F531" s="35">
        <v>1150</v>
      </c>
      <c r="G531" s="35">
        <v>100</v>
      </c>
      <c r="H531" s="43">
        <v>600</v>
      </c>
      <c r="I531" s="35">
        <v>695</v>
      </c>
      <c r="J531" s="35">
        <v>50</v>
      </c>
      <c r="K531" s="36"/>
      <c r="L531" s="36"/>
      <c r="M531" s="36"/>
      <c r="N531" s="36"/>
      <c r="O531" s="36"/>
      <c r="P531" s="36"/>
      <c r="Q531" s="36"/>
      <c r="R531" s="36"/>
      <c r="S531" s="36"/>
      <c r="T531" s="36"/>
    </row>
    <row r="532" spans="1:20" ht="15.75">
      <c r="A532" s="13">
        <v>57710</v>
      </c>
      <c r="B532" s="44">
        <v>31</v>
      </c>
      <c r="C532" s="35">
        <v>122.58</v>
      </c>
      <c r="D532" s="35">
        <v>297.94099999999997</v>
      </c>
      <c r="E532" s="41">
        <v>729.47900000000004</v>
      </c>
      <c r="F532" s="35">
        <v>1150</v>
      </c>
      <c r="G532" s="35">
        <v>100</v>
      </c>
      <c r="H532" s="43">
        <v>600</v>
      </c>
      <c r="I532" s="35">
        <v>695</v>
      </c>
      <c r="J532" s="35">
        <v>50</v>
      </c>
      <c r="K532" s="36"/>
      <c r="L532" s="36"/>
      <c r="M532" s="36"/>
      <c r="N532" s="36"/>
      <c r="O532" s="36"/>
      <c r="P532" s="36"/>
      <c r="Q532" s="36"/>
      <c r="R532" s="36"/>
      <c r="S532" s="36"/>
      <c r="T532" s="36"/>
    </row>
    <row r="533" spans="1:20" ht="15.75">
      <c r="A533" s="13">
        <v>57741</v>
      </c>
      <c r="B533" s="44">
        <v>31</v>
      </c>
      <c r="C533" s="35">
        <v>122.58</v>
      </c>
      <c r="D533" s="35">
        <v>297.94099999999997</v>
      </c>
      <c r="E533" s="41">
        <v>729.47900000000004</v>
      </c>
      <c r="F533" s="35">
        <v>1150</v>
      </c>
      <c r="G533" s="35">
        <v>100</v>
      </c>
      <c r="H533" s="43">
        <v>600</v>
      </c>
      <c r="I533" s="35">
        <v>695</v>
      </c>
      <c r="J533" s="35">
        <v>50</v>
      </c>
      <c r="K533" s="36"/>
      <c r="L533" s="36"/>
      <c r="M533" s="36"/>
      <c r="N533" s="36"/>
      <c r="O533" s="36"/>
      <c r="P533" s="36"/>
      <c r="Q533" s="36"/>
      <c r="R533" s="36"/>
      <c r="S533" s="36"/>
      <c r="T533" s="36"/>
    </row>
    <row r="534" spans="1:20" ht="15.75">
      <c r="A534" s="13">
        <v>57769</v>
      </c>
      <c r="B534" s="44">
        <v>28</v>
      </c>
      <c r="C534" s="35">
        <v>122.58</v>
      </c>
      <c r="D534" s="35">
        <v>297.94099999999997</v>
      </c>
      <c r="E534" s="41">
        <v>729.47900000000004</v>
      </c>
      <c r="F534" s="35">
        <v>1150</v>
      </c>
      <c r="G534" s="35">
        <v>100</v>
      </c>
      <c r="H534" s="43">
        <v>600</v>
      </c>
      <c r="I534" s="35">
        <v>695</v>
      </c>
      <c r="J534" s="35">
        <v>50</v>
      </c>
      <c r="K534" s="36"/>
      <c r="L534" s="36"/>
      <c r="M534" s="36"/>
      <c r="N534" s="36"/>
      <c r="O534" s="36"/>
      <c r="P534" s="36"/>
      <c r="Q534" s="36"/>
      <c r="R534" s="36"/>
      <c r="S534" s="36"/>
      <c r="T534" s="36"/>
    </row>
    <row r="535" spans="1:20" ht="15.75">
      <c r="A535" s="13">
        <v>57800</v>
      </c>
      <c r="B535" s="44">
        <v>31</v>
      </c>
      <c r="C535" s="35">
        <v>122.58</v>
      </c>
      <c r="D535" s="35">
        <v>297.94099999999997</v>
      </c>
      <c r="E535" s="41">
        <v>729.47900000000004</v>
      </c>
      <c r="F535" s="35">
        <v>1150</v>
      </c>
      <c r="G535" s="35">
        <v>100</v>
      </c>
      <c r="H535" s="43">
        <v>600</v>
      </c>
      <c r="I535" s="35">
        <v>695</v>
      </c>
      <c r="J535" s="35">
        <v>50</v>
      </c>
      <c r="K535" s="36"/>
      <c r="L535" s="36"/>
      <c r="M535" s="36"/>
      <c r="N535" s="36"/>
      <c r="O535" s="36"/>
      <c r="P535" s="36"/>
      <c r="Q535" s="36"/>
      <c r="R535" s="36"/>
      <c r="S535" s="36"/>
      <c r="T535" s="36"/>
    </row>
    <row r="536" spans="1:20" ht="15.75">
      <c r="A536" s="13">
        <v>57830</v>
      </c>
      <c r="B536" s="44">
        <v>30</v>
      </c>
      <c r="C536" s="35">
        <v>141.29300000000001</v>
      </c>
      <c r="D536" s="35">
        <v>267.99299999999999</v>
      </c>
      <c r="E536" s="41">
        <v>829.71400000000006</v>
      </c>
      <c r="F536" s="35">
        <v>1239</v>
      </c>
      <c r="G536" s="35">
        <v>100</v>
      </c>
      <c r="H536" s="43">
        <v>600</v>
      </c>
      <c r="I536" s="35">
        <v>695</v>
      </c>
      <c r="J536" s="35">
        <v>50</v>
      </c>
      <c r="K536" s="36"/>
      <c r="L536" s="36"/>
      <c r="M536" s="36"/>
      <c r="N536" s="36"/>
      <c r="O536" s="36"/>
      <c r="P536" s="36"/>
      <c r="Q536" s="36"/>
      <c r="R536" s="36"/>
      <c r="S536" s="36"/>
      <c r="T536" s="36"/>
    </row>
    <row r="537" spans="1:20" ht="15.75">
      <c r="A537" s="13">
        <v>57861</v>
      </c>
      <c r="B537" s="44">
        <v>31</v>
      </c>
      <c r="C537" s="35">
        <v>194.20500000000001</v>
      </c>
      <c r="D537" s="35">
        <v>267.46600000000001</v>
      </c>
      <c r="E537" s="41">
        <v>812.32899999999995</v>
      </c>
      <c r="F537" s="35">
        <v>1274</v>
      </c>
      <c r="G537" s="35">
        <v>75</v>
      </c>
      <c r="H537" s="43">
        <v>600</v>
      </c>
      <c r="I537" s="35">
        <v>695</v>
      </c>
      <c r="J537" s="35">
        <v>50</v>
      </c>
      <c r="K537" s="36"/>
      <c r="L537" s="36"/>
      <c r="M537" s="36"/>
      <c r="N537" s="36"/>
      <c r="O537" s="36"/>
      <c r="P537" s="36"/>
      <c r="Q537" s="36"/>
      <c r="R537" s="36"/>
      <c r="S537" s="36"/>
      <c r="T537" s="36"/>
    </row>
    <row r="538" spans="1:20" ht="15.75">
      <c r="A538" s="13">
        <v>57891</v>
      </c>
      <c r="B538" s="44">
        <v>30</v>
      </c>
      <c r="C538" s="35">
        <v>194.20500000000001</v>
      </c>
      <c r="D538" s="35">
        <v>267.46600000000001</v>
      </c>
      <c r="E538" s="41">
        <v>812.32899999999995</v>
      </c>
      <c r="F538" s="35">
        <v>1274</v>
      </c>
      <c r="G538" s="35">
        <v>50</v>
      </c>
      <c r="H538" s="43">
        <v>600</v>
      </c>
      <c r="I538" s="35">
        <v>695</v>
      </c>
      <c r="J538" s="35">
        <v>50</v>
      </c>
      <c r="K538" s="36"/>
      <c r="L538" s="36"/>
      <c r="M538" s="36"/>
      <c r="N538" s="36"/>
      <c r="O538" s="36"/>
      <c r="P538" s="36"/>
      <c r="Q538" s="36"/>
      <c r="R538" s="36"/>
      <c r="S538" s="36"/>
      <c r="T538" s="36"/>
    </row>
    <row r="539" spans="1:20" ht="15.75">
      <c r="A539" s="13">
        <v>57922</v>
      </c>
      <c r="B539" s="44">
        <v>31</v>
      </c>
      <c r="C539" s="35">
        <v>194.20500000000001</v>
      </c>
      <c r="D539" s="35">
        <v>267.46600000000001</v>
      </c>
      <c r="E539" s="41">
        <v>812.32899999999995</v>
      </c>
      <c r="F539" s="35">
        <v>1274</v>
      </c>
      <c r="G539" s="35">
        <v>50</v>
      </c>
      <c r="H539" s="43">
        <v>600</v>
      </c>
      <c r="I539" s="35">
        <v>695</v>
      </c>
      <c r="J539" s="35">
        <v>0</v>
      </c>
      <c r="K539" s="36"/>
      <c r="L539" s="36"/>
      <c r="M539" s="36"/>
      <c r="N539" s="36"/>
      <c r="O539" s="36"/>
      <c r="P539" s="36"/>
      <c r="Q539" s="36"/>
      <c r="R539" s="36"/>
      <c r="S539" s="36"/>
      <c r="T539" s="36"/>
    </row>
    <row r="540" spans="1:20" ht="15.75">
      <c r="A540" s="13">
        <v>57953</v>
      </c>
      <c r="B540" s="44">
        <v>31</v>
      </c>
      <c r="C540" s="35">
        <v>194.20500000000001</v>
      </c>
      <c r="D540" s="35">
        <v>267.46600000000001</v>
      </c>
      <c r="E540" s="41">
        <v>812.32899999999995</v>
      </c>
      <c r="F540" s="35">
        <v>1274</v>
      </c>
      <c r="G540" s="35">
        <v>50</v>
      </c>
      <c r="H540" s="43">
        <v>600</v>
      </c>
      <c r="I540" s="35">
        <v>695</v>
      </c>
      <c r="J540" s="35">
        <v>0</v>
      </c>
      <c r="K540" s="36"/>
      <c r="L540" s="36"/>
      <c r="M540" s="36"/>
      <c r="N540" s="36"/>
      <c r="O540" s="36"/>
      <c r="P540" s="36"/>
      <c r="Q540" s="36"/>
      <c r="R540" s="36"/>
      <c r="S540" s="36"/>
      <c r="T540" s="36"/>
    </row>
    <row r="541" spans="1:20" ht="15.75">
      <c r="A541" s="13">
        <v>57983</v>
      </c>
      <c r="B541" s="44">
        <v>30</v>
      </c>
      <c r="C541" s="35">
        <v>194.20500000000001</v>
      </c>
      <c r="D541" s="35">
        <v>267.46600000000001</v>
      </c>
      <c r="E541" s="41">
        <v>812.32899999999995</v>
      </c>
      <c r="F541" s="35">
        <v>1274</v>
      </c>
      <c r="G541" s="35">
        <v>50</v>
      </c>
      <c r="H541" s="43">
        <v>600</v>
      </c>
      <c r="I541" s="35">
        <v>695</v>
      </c>
      <c r="J541" s="35">
        <v>0</v>
      </c>
      <c r="K541" s="36"/>
      <c r="L541" s="36"/>
      <c r="M541" s="36"/>
      <c r="N541" s="36"/>
      <c r="O541" s="36"/>
      <c r="P541" s="36"/>
      <c r="Q541" s="36"/>
      <c r="R541" s="36"/>
      <c r="S541" s="36"/>
      <c r="T541" s="36"/>
    </row>
    <row r="542" spans="1:20" ht="15.75">
      <c r="A542" s="13">
        <v>58014</v>
      </c>
      <c r="B542" s="44">
        <v>31</v>
      </c>
      <c r="C542" s="35">
        <v>131.881</v>
      </c>
      <c r="D542" s="35">
        <v>277.16699999999997</v>
      </c>
      <c r="E542" s="41">
        <v>829.952</v>
      </c>
      <c r="F542" s="35">
        <v>1239</v>
      </c>
      <c r="G542" s="35">
        <v>75</v>
      </c>
      <c r="H542" s="43">
        <v>600</v>
      </c>
      <c r="I542" s="35">
        <v>695</v>
      </c>
      <c r="J542" s="35">
        <v>0</v>
      </c>
      <c r="K542" s="36"/>
      <c r="L542" s="36"/>
      <c r="M542" s="36"/>
      <c r="N542" s="36"/>
      <c r="O542" s="36"/>
      <c r="P542" s="36"/>
      <c r="Q542" s="36"/>
      <c r="R542" s="36"/>
      <c r="S542" s="36"/>
      <c r="T542" s="36"/>
    </row>
    <row r="543" spans="1:20" ht="15.75">
      <c r="A543" s="13">
        <v>58044</v>
      </c>
      <c r="B543" s="44">
        <v>30</v>
      </c>
      <c r="C543" s="35">
        <v>122.58</v>
      </c>
      <c r="D543" s="35">
        <v>297.94099999999997</v>
      </c>
      <c r="E543" s="41">
        <v>729.47900000000004</v>
      </c>
      <c r="F543" s="35">
        <v>1150</v>
      </c>
      <c r="G543" s="35">
        <v>100</v>
      </c>
      <c r="H543" s="43">
        <v>600</v>
      </c>
      <c r="I543" s="35">
        <v>695</v>
      </c>
      <c r="J543" s="35">
        <v>50</v>
      </c>
      <c r="K543" s="36"/>
      <c r="L543" s="36"/>
      <c r="M543" s="36"/>
      <c r="N543" s="36"/>
      <c r="O543" s="36"/>
      <c r="P543" s="36"/>
      <c r="Q543" s="36"/>
      <c r="R543" s="36"/>
      <c r="S543" s="36"/>
      <c r="T543" s="36"/>
    </row>
    <row r="544" spans="1:20" ht="15.75">
      <c r="A544" s="13">
        <v>58075</v>
      </c>
      <c r="B544" s="44">
        <v>31</v>
      </c>
      <c r="C544" s="35">
        <v>122.58</v>
      </c>
      <c r="D544" s="35">
        <v>297.94099999999997</v>
      </c>
      <c r="E544" s="41">
        <v>729.47900000000004</v>
      </c>
      <c r="F544" s="35">
        <v>1150</v>
      </c>
      <c r="G544" s="35">
        <v>100</v>
      </c>
      <c r="H544" s="43">
        <v>600</v>
      </c>
      <c r="I544" s="35">
        <v>695</v>
      </c>
      <c r="J544" s="35">
        <v>50</v>
      </c>
      <c r="K544" s="36"/>
      <c r="L544" s="36"/>
      <c r="M544" s="36"/>
      <c r="N544" s="36"/>
      <c r="O544" s="36"/>
      <c r="P544" s="36"/>
      <c r="Q544" s="36"/>
      <c r="R544" s="36"/>
      <c r="S544" s="36"/>
      <c r="T544" s="36"/>
    </row>
    <row r="545" spans="1:20" ht="15.75">
      <c r="A545" s="13">
        <v>58106</v>
      </c>
      <c r="B545" s="44">
        <v>31</v>
      </c>
      <c r="C545" s="35">
        <v>122.58</v>
      </c>
      <c r="D545" s="35">
        <v>297.94099999999997</v>
      </c>
      <c r="E545" s="41">
        <v>729.47900000000004</v>
      </c>
      <c r="F545" s="35">
        <v>1150</v>
      </c>
      <c r="G545" s="35">
        <v>100</v>
      </c>
      <c r="H545" s="43">
        <v>600</v>
      </c>
      <c r="I545" s="35">
        <v>695</v>
      </c>
      <c r="J545" s="35">
        <v>50</v>
      </c>
      <c r="K545" s="36"/>
      <c r="L545" s="36"/>
      <c r="M545" s="36"/>
      <c r="N545" s="36"/>
      <c r="O545" s="36"/>
      <c r="P545" s="36"/>
      <c r="Q545" s="36"/>
      <c r="R545" s="36"/>
      <c r="S545" s="36"/>
      <c r="T545" s="36"/>
    </row>
    <row r="546" spans="1:20" ht="15.75">
      <c r="A546" s="13">
        <v>58134</v>
      </c>
      <c r="B546" s="44">
        <v>28</v>
      </c>
      <c r="C546" s="35">
        <v>122.58</v>
      </c>
      <c r="D546" s="35">
        <v>297.94099999999997</v>
      </c>
      <c r="E546" s="41">
        <v>729.47900000000004</v>
      </c>
      <c r="F546" s="35">
        <v>1150</v>
      </c>
      <c r="G546" s="35">
        <v>100</v>
      </c>
      <c r="H546" s="43">
        <v>600</v>
      </c>
      <c r="I546" s="35">
        <v>695</v>
      </c>
      <c r="J546" s="35">
        <v>50</v>
      </c>
      <c r="K546" s="36"/>
      <c r="L546" s="36"/>
      <c r="M546" s="36"/>
      <c r="N546" s="36"/>
      <c r="O546" s="36"/>
      <c r="P546" s="36"/>
      <c r="Q546" s="36"/>
      <c r="R546" s="36"/>
      <c r="S546" s="36"/>
      <c r="T546" s="36"/>
    </row>
    <row r="547" spans="1:20" ht="15.75">
      <c r="A547" s="13">
        <v>58165</v>
      </c>
      <c r="B547" s="44">
        <v>31</v>
      </c>
      <c r="C547" s="35">
        <v>122.58</v>
      </c>
      <c r="D547" s="35">
        <v>297.94099999999997</v>
      </c>
      <c r="E547" s="41">
        <v>729.47900000000004</v>
      </c>
      <c r="F547" s="35">
        <v>1150</v>
      </c>
      <c r="G547" s="35">
        <v>100</v>
      </c>
      <c r="H547" s="43">
        <v>600</v>
      </c>
      <c r="I547" s="35">
        <v>695</v>
      </c>
      <c r="J547" s="35">
        <v>50</v>
      </c>
      <c r="K547" s="36"/>
      <c r="L547" s="36"/>
      <c r="M547" s="36"/>
      <c r="N547" s="36"/>
      <c r="O547" s="36"/>
      <c r="P547" s="36"/>
      <c r="Q547" s="36"/>
      <c r="R547" s="36"/>
      <c r="S547" s="36"/>
      <c r="T547" s="36"/>
    </row>
    <row r="548" spans="1:20" ht="15.75">
      <c r="A548" s="13">
        <v>58195</v>
      </c>
      <c r="B548" s="44">
        <v>30</v>
      </c>
      <c r="C548" s="35">
        <v>141.29300000000001</v>
      </c>
      <c r="D548" s="35">
        <v>267.99299999999999</v>
      </c>
      <c r="E548" s="41">
        <v>829.71400000000006</v>
      </c>
      <c r="F548" s="35">
        <v>1239</v>
      </c>
      <c r="G548" s="35">
        <v>100</v>
      </c>
      <c r="H548" s="43">
        <v>600</v>
      </c>
      <c r="I548" s="35">
        <v>695</v>
      </c>
      <c r="J548" s="35">
        <v>50</v>
      </c>
      <c r="K548" s="36"/>
      <c r="L548" s="36"/>
      <c r="M548" s="36"/>
      <c r="N548" s="36"/>
      <c r="O548" s="36"/>
      <c r="P548" s="36"/>
      <c r="Q548" s="36"/>
      <c r="R548" s="36"/>
      <c r="S548" s="36"/>
      <c r="T548" s="36"/>
    </row>
    <row r="549" spans="1:20" ht="15.75">
      <c r="A549" s="13">
        <v>58226</v>
      </c>
      <c r="B549" s="44">
        <v>31</v>
      </c>
      <c r="C549" s="35">
        <v>194.20500000000001</v>
      </c>
      <c r="D549" s="35">
        <v>267.46600000000001</v>
      </c>
      <c r="E549" s="41">
        <v>812.32899999999995</v>
      </c>
      <c r="F549" s="35">
        <v>1274</v>
      </c>
      <c r="G549" s="35">
        <v>75</v>
      </c>
      <c r="H549" s="43">
        <v>600</v>
      </c>
      <c r="I549" s="35">
        <v>695</v>
      </c>
      <c r="J549" s="35">
        <v>50</v>
      </c>
      <c r="K549" s="36"/>
      <c r="L549" s="36"/>
      <c r="M549" s="36"/>
      <c r="N549" s="36"/>
      <c r="O549" s="36"/>
      <c r="P549" s="36"/>
      <c r="Q549" s="36"/>
      <c r="R549" s="36"/>
      <c r="S549" s="36"/>
      <c r="T549" s="36"/>
    </row>
    <row r="550" spans="1:20" ht="15.75">
      <c r="A550" s="13">
        <v>58256</v>
      </c>
      <c r="B550" s="44">
        <v>30</v>
      </c>
      <c r="C550" s="35">
        <v>194.20500000000001</v>
      </c>
      <c r="D550" s="35">
        <v>267.46600000000001</v>
      </c>
      <c r="E550" s="41">
        <v>812.32899999999995</v>
      </c>
      <c r="F550" s="35">
        <v>1274</v>
      </c>
      <c r="G550" s="35">
        <v>50</v>
      </c>
      <c r="H550" s="43">
        <v>600</v>
      </c>
      <c r="I550" s="35">
        <v>695</v>
      </c>
      <c r="J550" s="35">
        <v>50</v>
      </c>
      <c r="K550" s="36"/>
      <c r="L550" s="36"/>
      <c r="M550" s="36"/>
      <c r="N550" s="36"/>
      <c r="O550" s="36"/>
      <c r="P550" s="36"/>
      <c r="Q550" s="36"/>
      <c r="R550" s="36"/>
      <c r="S550" s="36"/>
      <c r="T550" s="36"/>
    </row>
    <row r="551" spans="1:20" ht="15.75">
      <c r="A551" s="13">
        <v>58287</v>
      </c>
      <c r="B551" s="44">
        <v>31</v>
      </c>
      <c r="C551" s="35">
        <v>194.20500000000001</v>
      </c>
      <c r="D551" s="35">
        <v>267.46600000000001</v>
      </c>
      <c r="E551" s="41">
        <v>812.32899999999995</v>
      </c>
      <c r="F551" s="35">
        <v>1274</v>
      </c>
      <c r="G551" s="35">
        <v>50</v>
      </c>
      <c r="H551" s="43">
        <v>600</v>
      </c>
      <c r="I551" s="35">
        <v>695</v>
      </c>
      <c r="J551" s="35">
        <v>0</v>
      </c>
      <c r="K551" s="36"/>
      <c r="L551" s="36"/>
      <c r="M551" s="36"/>
      <c r="N551" s="36"/>
      <c r="O551" s="36"/>
      <c r="P551" s="36"/>
      <c r="Q551" s="36"/>
      <c r="R551" s="36"/>
      <c r="S551" s="36"/>
      <c r="T551" s="36"/>
    </row>
    <row r="552" spans="1:20" ht="15.75">
      <c r="A552" s="13">
        <v>58318</v>
      </c>
      <c r="B552" s="44">
        <v>31</v>
      </c>
      <c r="C552" s="35">
        <v>194.20500000000001</v>
      </c>
      <c r="D552" s="35">
        <v>267.46600000000001</v>
      </c>
      <c r="E552" s="41">
        <v>812.32899999999995</v>
      </c>
      <c r="F552" s="35">
        <v>1274</v>
      </c>
      <c r="G552" s="35">
        <v>50</v>
      </c>
      <c r="H552" s="43">
        <v>600</v>
      </c>
      <c r="I552" s="35">
        <v>695</v>
      </c>
      <c r="J552" s="35">
        <v>0</v>
      </c>
      <c r="K552" s="36"/>
      <c r="L552" s="36"/>
      <c r="M552" s="36"/>
      <c r="N552" s="36"/>
      <c r="O552" s="36"/>
      <c r="P552" s="36"/>
      <c r="Q552" s="36"/>
      <c r="R552" s="36"/>
      <c r="S552" s="36"/>
      <c r="T552" s="36"/>
    </row>
    <row r="553" spans="1:20" ht="15.75">
      <c r="A553" s="13">
        <v>58348</v>
      </c>
      <c r="B553" s="44">
        <v>30</v>
      </c>
      <c r="C553" s="35">
        <v>194.20500000000001</v>
      </c>
      <c r="D553" s="35">
        <v>267.46600000000001</v>
      </c>
      <c r="E553" s="41">
        <v>812.32899999999995</v>
      </c>
      <c r="F553" s="35">
        <v>1274</v>
      </c>
      <c r="G553" s="35">
        <v>50</v>
      </c>
      <c r="H553" s="43">
        <v>600</v>
      </c>
      <c r="I553" s="35">
        <v>695</v>
      </c>
      <c r="J553" s="35">
        <v>0</v>
      </c>
      <c r="K553" s="36"/>
      <c r="L553" s="36"/>
      <c r="M553" s="36"/>
      <c r="N553" s="36"/>
      <c r="O553" s="36"/>
      <c r="P553" s="36"/>
      <c r="Q553" s="36"/>
      <c r="R553" s="36"/>
      <c r="S553" s="36"/>
      <c r="T553" s="36"/>
    </row>
    <row r="554" spans="1:20" ht="15.75">
      <c r="A554" s="13">
        <v>58379</v>
      </c>
      <c r="B554" s="44">
        <v>31</v>
      </c>
      <c r="C554" s="35">
        <v>131.881</v>
      </c>
      <c r="D554" s="35">
        <v>277.16699999999997</v>
      </c>
      <c r="E554" s="41">
        <v>829.952</v>
      </c>
      <c r="F554" s="35">
        <v>1239</v>
      </c>
      <c r="G554" s="35">
        <v>75</v>
      </c>
      <c r="H554" s="43">
        <v>600</v>
      </c>
      <c r="I554" s="35">
        <v>695</v>
      </c>
      <c r="J554" s="35">
        <v>0</v>
      </c>
      <c r="K554" s="36"/>
      <c r="L554" s="36"/>
      <c r="M554" s="36"/>
      <c r="N554" s="36"/>
      <c r="O554" s="36"/>
      <c r="P554" s="36"/>
      <c r="Q554" s="36"/>
      <c r="R554" s="36"/>
      <c r="S554" s="36"/>
      <c r="T554" s="36"/>
    </row>
    <row r="555" spans="1:20" ht="15.75">
      <c r="A555" s="13">
        <v>58409</v>
      </c>
      <c r="B555" s="44">
        <v>30</v>
      </c>
      <c r="C555" s="35">
        <v>122.58</v>
      </c>
      <c r="D555" s="35">
        <v>297.94099999999997</v>
      </c>
      <c r="E555" s="41">
        <v>729.47900000000004</v>
      </c>
      <c r="F555" s="35">
        <v>1150</v>
      </c>
      <c r="G555" s="35">
        <v>100</v>
      </c>
      <c r="H555" s="43">
        <v>600</v>
      </c>
      <c r="I555" s="35">
        <v>695</v>
      </c>
      <c r="J555" s="35">
        <v>50</v>
      </c>
      <c r="K555" s="36"/>
      <c r="L555" s="36"/>
      <c r="M555" s="36"/>
      <c r="N555" s="36"/>
      <c r="O555" s="36"/>
      <c r="P555" s="36"/>
      <c r="Q555" s="36"/>
      <c r="R555" s="36"/>
      <c r="S555" s="36"/>
      <c r="T555" s="36"/>
    </row>
    <row r="556" spans="1:20" ht="15.75">
      <c r="A556" s="13">
        <v>58440</v>
      </c>
      <c r="B556" s="44">
        <v>31</v>
      </c>
      <c r="C556" s="35">
        <v>122.58</v>
      </c>
      <c r="D556" s="35">
        <v>297.94099999999997</v>
      </c>
      <c r="E556" s="41">
        <v>729.47900000000004</v>
      </c>
      <c r="F556" s="35">
        <v>1150</v>
      </c>
      <c r="G556" s="35">
        <v>100</v>
      </c>
      <c r="H556" s="43">
        <v>600</v>
      </c>
      <c r="I556" s="35">
        <v>695</v>
      </c>
      <c r="J556" s="35">
        <v>50</v>
      </c>
      <c r="K556" s="36"/>
      <c r="L556" s="36"/>
      <c r="M556" s="36"/>
      <c r="N556" s="36"/>
      <c r="O556" s="36"/>
      <c r="P556" s="36"/>
      <c r="Q556" s="36"/>
      <c r="R556" s="36"/>
      <c r="S556" s="36"/>
      <c r="T556" s="36"/>
    </row>
    <row r="557" spans="1:20" ht="15.75">
      <c r="A557" s="13">
        <v>58471</v>
      </c>
      <c r="B557" s="44">
        <v>31</v>
      </c>
      <c r="C557" s="35">
        <v>122.58</v>
      </c>
      <c r="D557" s="35">
        <v>297.94099999999997</v>
      </c>
      <c r="E557" s="41">
        <v>729.47900000000004</v>
      </c>
      <c r="F557" s="35">
        <v>1150</v>
      </c>
      <c r="G557" s="35">
        <v>100</v>
      </c>
      <c r="H557" s="43">
        <v>600</v>
      </c>
      <c r="I557" s="35">
        <v>695</v>
      </c>
      <c r="J557" s="35">
        <v>50</v>
      </c>
      <c r="K557" s="36"/>
      <c r="L557" s="36"/>
      <c r="M557" s="36"/>
      <c r="N557" s="36"/>
      <c r="O557" s="36"/>
      <c r="P557" s="36"/>
      <c r="Q557" s="36"/>
      <c r="R557" s="36"/>
      <c r="S557" s="36"/>
      <c r="T557" s="36"/>
    </row>
    <row r="558" spans="1:20" ht="15.75">
      <c r="A558" s="13">
        <v>58499</v>
      </c>
      <c r="B558" s="44">
        <v>29</v>
      </c>
      <c r="C558" s="35">
        <v>122.58</v>
      </c>
      <c r="D558" s="35">
        <v>297.94099999999997</v>
      </c>
      <c r="E558" s="41">
        <v>729.47900000000004</v>
      </c>
      <c r="F558" s="35">
        <v>1150</v>
      </c>
      <c r="G558" s="35">
        <v>100</v>
      </c>
      <c r="H558" s="43">
        <v>600</v>
      </c>
      <c r="I558" s="35">
        <v>695</v>
      </c>
      <c r="J558" s="35">
        <v>50</v>
      </c>
      <c r="K558" s="36"/>
      <c r="L558" s="36"/>
      <c r="M558" s="36"/>
      <c r="N558" s="36"/>
      <c r="O558" s="36"/>
      <c r="P558" s="36"/>
      <c r="Q558" s="36"/>
      <c r="R558" s="36"/>
      <c r="S558" s="36"/>
      <c r="T558" s="36"/>
    </row>
    <row r="559" spans="1:20" ht="15.75">
      <c r="A559" s="13">
        <v>58531</v>
      </c>
      <c r="B559" s="44">
        <v>31</v>
      </c>
      <c r="C559" s="35">
        <v>122.58</v>
      </c>
      <c r="D559" s="35">
        <v>297.94099999999997</v>
      </c>
      <c r="E559" s="41">
        <v>729.47900000000004</v>
      </c>
      <c r="F559" s="35">
        <v>1150</v>
      </c>
      <c r="G559" s="35">
        <v>100</v>
      </c>
      <c r="H559" s="43">
        <v>600</v>
      </c>
      <c r="I559" s="35">
        <v>695</v>
      </c>
      <c r="J559" s="35">
        <v>50</v>
      </c>
      <c r="K559" s="36"/>
      <c r="L559" s="36"/>
      <c r="M559" s="36"/>
      <c r="N559" s="36"/>
      <c r="O559" s="36"/>
      <c r="P559" s="36"/>
      <c r="Q559" s="36"/>
      <c r="R559" s="36"/>
      <c r="S559" s="36"/>
      <c r="T559" s="36"/>
    </row>
    <row r="560" spans="1:20" ht="15.75">
      <c r="A560" s="13">
        <v>58561</v>
      </c>
      <c r="B560" s="44">
        <v>30</v>
      </c>
      <c r="C560" s="35">
        <v>141.29300000000001</v>
      </c>
      <c r="D560" s="35">
        <v>267.99299999999999</v>
      </c>
      <c r="E560" s="41">
        <v>829.71400000000006</v>
      </c>
      <c r="F560" s="35">
        <v>1239</v>
      </c>
      <c r="G560" s="35">
        <v>100</v>
      </c>
      <c r="H560" s="43">
        <v>600</v>
      </c>
      <c r="I560" s="35">
        <v>695</v>
      </c>
      <c r="J560" s="35">
        <v>50</v>
      </c>
      <c r="K560" s="36"/>
      <c r="L560" s="36"/>
      <c r="M560" s="36"/>
      <c r="N560" s="36"/>
      <c r="O560" s="36"/>
      <c r="P560" s="36"/>
      <c r="Q560" s="36"/>
      <c r="R560" s="36"/>
      <c r="S560" s="36"/>
      <c r="T560" s="36"/>
    </row>
    <row r="561" spans="1:20" ht="15.75">
      <c r="A561" s="13">
        <v>58592</v>
      </c>
      <c r="B561" s="44">
        <v>31</v>
      </c>
      <c r="C561" s="35">
        <v>194.20500000000001</v>
      </c>
      <c r="D561" s="35">
        <v>267.46600000000001</v>
      </c>
      <c r="E561" s="41">
        <v>812.32899999999995</v>
      </c>
      <c r="F561" s="35">
        <v>1274</v>
      </c>
      <c r="G561" s="35">
        <v>75</v>
      </c>
      <c r="H561" s="43">
        <v>600</v>
      </c>
      <c r="I561" s="35">
        <v>695</v>
      </c>
      <c r="J561" s="35">
        <v>50</v>
      </c>
      <c r="K561" s="36"/>
      <c r="L561" s="36"/>
      <c r="M561" s="36"/>
      <c r="N561" s="36"/>
      <c r="O561" s="36"/>
      <c r="P561" s="36"/>
      <c r="Q561" s="36"/>
      <c r="R561" s="36"/>
      <c r="S561" s="36"/>
      <c r="T561" s="36"/>
    </row>
    <row r="562" spans="1:20" ht="15.75">
      <c r="A562" s="13">
        <v>58622</v>
      </c>
      <c r="B562" s="44">
        <v>30</v>
      </c>
      <c r="C562" s="35">
        <v>194.20500000000001</v>
      </c>
      <c r="D562" s="35">
        <v>267.46600000000001</v>
      </c>
      <c r="E562" s="41">
        <v>812.32899999999995</v>
      </c>
      <c r="F562" s="35">
        <v>1274</v>
      </c>
      <c r="G562" s="35">
        <v>50</v>
      </c>
      <c r="H562" s="43">
        <v>600</v>
      </c>
      <c r="I562" s="35">
        <v>695</v>
      </c>
      <c r="J562" s="35">
        <v>50</v>
      </c>
      <c r="K562" s="36"/>
      <c r="L562" s="36"/>
      <c r="M562" s="36"/>
      <c r="N562" s="36"/>
      <c r="O562" s="36"/>
      <c r="P562" s="36"/>
      <c r="Q562" s="36"/>
      <c r="R562" s="36"/>
      <c r="S562" s="36"/>
      <c r="T562" s="36"/>
    </row>
    <row r="563" spans="1:20" ht="15.75">
      <c r="A563" s="13">
        <v>58653</v>
      </c>
      <c r="B563" s="44">
        <v>31</v>
      </c>
      <c r="C563" s="35">
        <v>194.20500000000001</v>
      </c>
      <c r="D563" s="35">
        <v>267.46600000000001</v>
      </c>
      <c r="E563" s="41">
        <v>812.32899999999995</v>
      </c>
      <c r="F563" s="35">
        <v>1274</v>
      </c>
      <c r="G563" s="35">
        <v>50</v>
      </c>
      <c r="H563" s="43">
        <v>600</v>
      </c>
      <c r="I563" s="35">
        <v>695</v>
      </c>
      <c r="J563" s="35">
        <v>0</v>
      </c>
      <c r="K563" s="36"/>
      <c r="L563" s="36"/>
      <c r="M563" s="36"/>
      <c r="N563" s="36"/>
      <c r="O563" s="36"/>
      <c r="P563" s="36"/>
      <c r="Q563" s="36"/>
      <c r="R563" s="36"/>
      <c r="S563" s="36"/>
      <c r="T563" s="36"/>
    </row>
    <row r="564" spans="1:20" ht="15.75">
      <c r="A564" s="13">
        <v>58684</v>
      </c>
      <c r="B564" s="44">
        <v>31</v>
      </c>
      <c r="C564" s="35">
        <v>194.20500000000001</v>
      </c>
      <c r="D564" s="35">
        <v>267.46600000000001</v>
      </c>
      <c r="E564" s="41">
        <v>812.32899999999995</v>
      </c>
      <c r="F564" s="35">
        <v>1274</v>
      </c>
      <c r="G564" s="35">
        <v>50</v>
      </c>
      <c r="H564" s="43">
        <v>600</v>
      </c>
      <c r="I564" s="35">
        <v>695</v>
      </c>
      <c r="J564" s="35">
        <v>0</v>
      </c>
      <c r="K564" s="36"/>
      <c r="L564" s="36"/>
      <c r="M564" s="36"/>
      <c r="N564" s="36"/>
      <c r="O564" s="36"/>
      <c r="P564" s="36"/>
      <c r="Q564" s="36"/>
      <c r="R564" s="36"/>
      <c r="S564" s="36"/>
      <c r="T564" s="36"/>
    </row>
    <row r="565" spans="1:20" ht="15.75">
      <c r="A565" s="13">
        <v>58714</v>
      </c>
      <c r="B565" s="44">
        <v>30</v>
      </c>
      <c r="C565" s="35">
        <v>194.20500000000001</v>
      </c>
      <c r="D565" s="35">
        <v>267.46600000000001</v>
      </c>
      <c r="E565" s="41">
        <v>812.32899999999995</v>
      </c>
      <c r="F565" s="35">
        <v>1274</v>
      </c>
      <c r="G565" s="35">
        <v>50</v>
      </c>
      <c r="H565" s="43">
        <v>600</v>
      </c>
      <c r="I565" s="35">
        <v>695</v>
      </c>
      <c r="J565" s="35">
        <v>0</v>
      </c>
      <c r="K565" s="36"/>
      <c r="L565" s="36"/>
      <c r="M565" s="36"/>
      <c r="N565" s="36"/>
      <c r="O565" s="36"/>
      <c r="P565" s="36"/>
      <c r="Q565" s="36"/>
      <c r="R565" s="36"/>
      <c r="S565" s="36"/>
      <c r="T565" s="36"/>
    </row>
    <row r="566" spans="1:20" ht="15.75">
      <c r="A566" s="13">
        <v>58745</v>
      </c>
      <c r="B566" s="44">
        <v>31</v>
      </c>
      <c r="C566" s="35">
        <v>131.881</v>
      </c>
      <c r="D566" s="35">
        <v>277.16699999999997</v>
      </c>
      <c r="E566" s="41">
        <v>829.952</v>
      </c>
      <c r="F566" s="35">
        <v>1239</v>
      </c>
      <c r="G566" s="35">
        <v>75</v>
      </c>
      <c r="H566" s="43">
        <v>600</v>
      </c>
      <c r="I566" s="35">
        <v>695</v>
      </c>
      <c r="J566" s="35">
        <v>0</v>
      </c>
      <c r="K566" s="36"/>
      <c r="L566" s="36"/>
      <c r="M566" s="36"/>
      <c r="N566" s="36"/>
      <c r="O566" s="36"/>
      <c r="P566" s="36"/>
      <c r="Q566" s="36"/>
      <c r="R566" s="36"/>
      <c r="S566" s="36"/>
      <c r="T566" s="36"/>
    </row>
    <row r="567" spans="1:20" ht="15.75">
      <c r="A567" s="13">
        <v>58775</v>
      </c>
      <c r="B567" s="44">
        <v>30</v>
      </c>
      <c r="C567" s="35">
        <v>122.58</v>
      </c>
      <c r="D567" s="35">
        <v>297.94099999999997</v>
      </c>
      <c r="E567" s="41">
        <v>729.47900000000004</v>
      </c>
      <c r="F567" s="35">
        <v>1150</v>
      </c>
      <c r="G567" s="35">
        <v>100</v>
      </c>
      <c r="H567" s="43">
        <v>600</v>
      </c>
      <c r="I567" s="35">
        <v>695</v>
      </c>
      <c r="J567" s="35">
        <v>50</v>
      </c>
      <c r="K567" s="36"/>
      <c r="L567" s="36"/>
      <c r="M567" s="36"/>
      <c r="N567" s="36"/>
      <c r="O567" s="36"/>
      <c r="P567" s="36"/>
      <c r="Q567" s="36"/>
      <c r="R567" s="36"/>
      <c r="S567" s="36"/>
      <c r="T567" s="36"/>
    </row>
    <row r="568" spans="1:20" ht="15.75">
      <c r="A568" s="13">
        <v>58806</v>
      </c>
      <c r="B568" s="44">
        <v>31</v>
      </c>
      <c r="C568" s="35">
        <v>122.58</v>
      </c>
      <c r="D568" s="35">
        <v>297.94099999999997</v>
      </c>
      <c r="E568" s="41">
        <v>729.47900000000004</v>
      </c>
      <c r="F568" s="35">
        <v>1150</v>
      </c>
      <c r="G568" s="35">
        <v>100</v>
      </c>
      <c r="H568" s="43">
        <v>600</v>
      </c>
      <c r="I568" s="35">
        <v>695</v>
      </c>
      <c r="J568" s="35">
        <v>50</v>
      </c>
      <c r="K568" s="36"/>
      <c r="L568" s="36"/>
      <c r="M568" s="36"/>
      <c r="N568" s="36"/>
      <c r="O568" s="36"/>
      <c r="P568" s="36"/>
      <c r="Q568" s="36"/>
      <c r="R568" s="36"/>
      <c r="S568" s="36"/>
      <c r="T568" s="36"/>
    </row>
    <row r="569" spans="1:20" ht="15.75">
      <c r="A569" s="13">
        <v>58837</v>
      </c>
      <c r="B569" s="44">
        <v>31</v>
      </c>
      <c r="C569" s="35">
        <v>122.58</v>
      </c>
      <c r="D569" s="35">
        <v>297.94099999999997</v>
      </c>
      <c r="E569" s="41">
        <v>729.47900000000004</v>
      </c>
      <c r="F569" s="35">
        <v>1150</v>
      </c>
      <c r="G569" s="35">
        <v>100</v>
      </c>
      <c r="H569" s="43">
        <v>600</v>
      </c>
      <c r="I569" s="35">
        <v>695</v>
      </c>
      <c r="J569" s="35">
        <v>50</v>
      </c>
      <c r="K569" s="36"/>
      <c r="L569" s="36"/>
      <c r="M569" s="36"/>
      <c r="N569" s="36"/>
      <c r="O569" s="36"/>
      <c r="P569" s="36"/>
      <c r="Q569" s="36"/>
      <c r="R569" s="36"/>
      <c r="S569" s="36"/>
      <c r="T569" s="36"/>
    </row>
    <row r="570" spans="1:20" ht="15.75">
      <c r="A570" s="13">
        <v>58865</v>
      </c>
      <c r="B570" s="44">
        <v>28</v>
      </c>
      <c r="C570" s="35">
        <v>122.58</v>
      </c>
      <c r="D570" s="35">
        <v>297.94099999999997</v>
      </c>
      <c r="E570" s="41">
        <v>729.47900000000004</v>
      </c>
      <c r="F570" s="35">
        <v>1150</v>
      </c>
      <c r="G570" s="35">
        <v>100</v>
      </c>
      <c r="H570" s="43">
        <v>600</v>
      </c>
      <c r="I570" s="35">
        <v>695</v>
      </c>
      <c r="J570" s="35">
        <v>50</v>
      </c>
      <c r="K570" s="36"/>
      <c r="L570" s="36"/>
      <c r="M570" s="36"/>
      <c r="N570" s="36"/>
      <c r="O570" s="36"/>
      <c r="P570" s="36"/>
      <c r="Q570" s="36"/>
      <c r="R570" s="36"/>
      <c r="S570" s="36"/>
      <c r="T570" s="36"/>
    </row>
    <row r="571" spans="1:20" ht="15.75">
      <c r="A571" s="13">
        <v>58893</v>
      </c>
      <c r="B571" s="44">
        <v>31</v>
      </c>
      <c r="C571" s="35">
        <v>122.58</v>
      </c>
      <c r="D571" s="35">
        <v>297.94099999999997</v>
      </c>
      <c r="E571" s="41">
        <v>729.47900000000004</v>
      </c>
      <c r="F571" s="35">
        <v>1150</v>
      </c>
      <c r="G571" s="35">
        <v>100</v>
      </c>
      <c r="H571" s="43">
        <v>600</v>
      </c>
      <c r="I571" s="35">
        <v>695</v>
      </c>
      <c r="J571" s="35">
        <v>50</v>
      </c>
      <c r="K571" s="36"/>
      <c r="L571" s="36"/>
      <c r="M571" s="36"/>
      <c r="N571" s="36"/>
      <c r="O571" s="36"/>
      <c r="P571" s="36"/>
      <c r="Q571" s="36"/>
      <c r="R571" s="36"/>
      <c r="S571" s="36"/>
      <c r="T571" s="36"/>
    </row>
    <row r="572" spans="1:20" ht="15.75">
      <c r="A572" s="13">
        <v>58926</v>
      </c>
      <c r="B572" s="44">
        <v>30</v>
      </c>
      <c r="C572" s="35">
        <v>141.29300000000001</v>
      </c>
      <c r="D572" s="35">
        <v>267.99299999999999</v>
      </c>
      <c r="E572" s="41">
        <v>829.71400000000006</v>
      </c>
      <c r="F572" s="35">
        <v>1239</v>
      </c>
      <c r="G572" s="35">
        <v>100</v>
      </c>
      <c r="H572" s="43">
        <v>600</v>
      </c>
      <c r="I572" s="35">
        <v>695</v>
      </c>
      <c r="J572" s="35">
        <v>50</v>
      </c>
      <c r="K572" s="36"/>
      <c r="L572" s="36"/>
      <c r="M572" s="36"/>
      <c r="N572" s="36"/>
      <c r="O572" s="36"/>
      <c r="P572" s="36"/>
      <c r="Q572" s="36"/>
      <c r="R572" s="36"/>
      <c r="S572" s="36"/>
      <c r="T572" s="36"/>
    </row>
    <row r="573" spans="1:20" ht="15.75">
      <c r="A573" s="13">
        <v>58957</v>
      </c>
      <c r="B573" s="44">
        <v>31</v>
      </c>
      <c r="C573" s="35">
        <v>194.20500000000001</v>
      </c>
      <c r="D573" s="35">
        <v>267.46600000000001</v>
      </c>
      <c r="E573" s="41">
        <v>812.32899999999995</v>
      </c>
      <c r="F573" s="35">
        <v>1274</v>
      </c>
      <c r="G573" s="35">
        <v>75</v>
      </c>
      <c r="H573" s="43">
        <v>600</v>
      </c>
      <c r="I573" s="35">
        <v>695</v>
      </c>
      <c r="J573" s="35">
        <v>50</v>
      </c>
      <c r="K573" s="36"/>
      <c r="L573" s="36"/>
      <c r="M573" s="36"/>
      <c r="N573" s="36"/>
      <c r="O573" s="36"/>
      <c r="P573" s="36"/>
      <c r="Q573" s="36"/>
      <c r="R573" s="36"/>
      <c r="S573" s="36"/>
      <c r="T573" s="36"/>
    </row>
    <row r="574" spans="1:20" ht="15.75">
      <c r="A574" s="13">
        <v>58987</v>
      </c>
      <c r="B574" s="44">
        <v>30</v>
      </c>
      <c r="C574" s="35">
        <v>194.20500000000001</v>
      </c>
      <c r="D574" s="35">
        <v>267.46600000000001</v>
      </c>
      <c r="E574" s="41">
        <v>812.32899999999995</v>
      </c>
      <c r="F574" s="35">
        <v>1274</v>
      </c>
      <c r="G574" s="35">
        <v>50</v>
      </c>
      <c r="H574" s="43">
        <v>600</v>
      </c>
      <c r="I574" s="35">
        <v>695</v>
      </c>
      <c r="J574" s="35">
        <v>50</v>
      </c>
      <c r="K574" s="36"/>
      <c r="L574" s="36"/>
      <c r="M574" s="36"/>
      <c r="N574" s="36"/>
      <c r="O574" s="36"/>
      <c r="P574" s="36"/>
      <c r="Q574" s="36"/>
      <c r="R574" s="36"/>
      <c r="S574" s="36"/>
      <c r="T574" s="36"/>
    </row>
    <row r="575" spans="1:20" ht="15.75">
      <c r="A575" s="13">
        <v>59018</v>
      </c>
      <c r="B575" s="44">
        <v>31</v>
      </c>
      <c r="C575" s="35">
        <v>194.20500000000001</v>
      </c>
      <c r="D575" s="35">
        <v>267.46600000000001</v>
      </c>
      <c r="E575" s="41">
        <v>812.32899999999995</v>
      </c>
      <c r="F575" s="35">
        <v>1274</v>
      </c>
      <c r="G575" s="35">
        <v>50</v>
      </c>
      <c r="H575" s="43">
        <v>600</v>
      </c>
      <c r="I575" s="35">
        <v>695</v>
      </c>
      <c r="J575" s="35">
        <v>0</v>
      </c>
      <c r="K575" s="36"/>
      <c r="L575" s="36"/>
      <c r="M575" s="36"/>
      <c r="N575" s="36"/>
      <c r="O575" s="36"/>
      <c r="P575" s="36"/>
      <c r="Q575" s="36"/>
      <c r="R575" s="36"/>
      <c r="S575" s="36"/>
      <c r="T575" s="36"/>
    </row>
    <row r="576" spans="1:20" ht="15.75">
      <c r="A576" s="13">
        <v>59049</v>
      </c>
      <c r="B576" s="44">
        <v>31</v>
      </c>
      <c r="C576" s="35">
        <v>194.20500000000001</v>
      </c>
      <c r="D576" s="35">
        <v>267.46600000000001</v>
      </c>
      <c r="E576" s="41">
        <v>812.32899999999995</v>
      </c>
      <c r="F576" s="35">
        <v>1274</v>
      </c>
      <c r="G576" s="35">
        <v>50</v>
      </c>
      <c r="H576" s="43">
        <v>600</v>
      </c>
      <c r="I576" s="35">
        <v>695</v>
      </c>
      <c r="J576" s="35">
        <v>0</v>
      </c>
      <c r="K576" s="36"/>
      <c r="L576" s="36"/>
      <c r="M576" s="36"/>
      <c r="N576" s="36"/>
      <c r="O576" s="36"/>
      <c r="P576" s="36"/>
      <c r="Q576" s="36"/>
      <c r="R576" s="36"/>
      <c r="S576" s="36"/>
      <c r="T576" s="36"/>
    </row>
    <row r="577" spans="1:20" ht="15.75">
      <c r="A577" s="13">
        <v>59079</v>
      </c>
      <c r="B577" s="44">
        <v>30</v>
      </c>
      <c r="C577" s="35">
        <v>194.20500000000001</v>
      </c>
      <c r="D577" s="35">
        <v>267.46600000000001</v>
      </c>
      <c r="E577" s="41">
        <v>812.32899999999995</v>
      </c>
      <c r="F577" s="35">
        <v>1274</v>
      </c>
      <c r="G577" s="35">
        <v>50</v>
      </c>
      <c r="H577" s="43">
        <v>600</v>
      </c>
      <c r="I577" s="35">
        <v>695</v>
      </c>
      <c r="J577" s="35">
        <v>0</v>
      </c>
      <c r="K577" s="36"/>
      <c r="L577" s="36"/>
      <c r="M577" s="36"/>
      <c r="N577" s="36"/>
      <c r="O577" s="36"/>
      <c r="P577" s="36"/>
      <c r="Q577" s="36"/>
      <c r="R577" s="36"/>
      <c r="S577" s="36"/>
      <c r="T577" s="36"/>
    </row>
    <row r="578" spans="1:20" ht="15.75">
      <c r="A578" s="13">
        <v>59110</v>
      </c>
      <c r="B578" s="44">
        <v>31</v>
      </c>
      <c r="C578" s="35">
        <v>131.881</v>
      </c>
      <c r="D578" s="35">
        <v>277.16699999999997</v>
      </c>
      <c r="E578" s="41">
        <v>829.952</v>
      </c>
      <c r="F578" s="35">
        <v>1239</v>
      </c>
      <c r="G578" s="35">
        <v>75</v>
      </c>
      <c r="H578" s="43">
        <v>600</v>
      </c>
      <c r="I578" s="35">
        <v>695</v>
      </c>
      <c r="J578" s="35">
        <v>0</v>
      </c>
      <c r="K578" s="36"/>
      <c r="L578" s="36"/>
      <c r="M578" s="36"/>
      <c r="N578" s="36"/>
      <c r="O578" s="36"/>
      <c r="P578" s="36"/>
      <c r="Q578" s="36"/>
      <c r="R578" s="36"/>
      <c r="S578" s="36"/>
      <c r="T578" s="36"/>
    </row>
    <row r="579" spans="1:20" ht="15.75">
      <c r="A579" s="13">
        <v>59140</v>
      </c>
      <c r="B579" s="44">
        <v>30</v>
      </c>
      <c r="C579" s="35">
        <v>122.58</v>
      </c>
      <c r="D579" s="35">
        <v>297.94099999999997</v>
      </c>
      <c r="E579" s="41">
        <v>729.47900000000004</v>
      </c>
      <c r="F579" s="35">
        <v>1150</v>
      </c>
      <c r="G579" s="35">
        <v>100</v>
      </c>
      <c r="H579" s="43">
        <v>600</v>
      </c>
      <c r="I579" s="35">
        <v>695</v>
      </c>
      <c r="J579" s="35">
        <v>50</v>
      </c>
      <c r="K579" s="36"/>
      <c r="L579" s="36"/>
      <c r="M579" s="36"/>
      <c r="N579" s="36"/>
      <c r="O579" s="36"/>
      <c r="P579" s="36"/>
      <c r="Q579" s="36"/>
      <c r="R579" s="36"/>
      <c r="S579" s="36"/>
      <c r="T579" s="36"/>
    </row>
    <row r="580" spans="1:20" ht="15.75">
      <c r="A580" s="13">
        <v>59171</v>
      </c>
      <c r="B580" s="44">
        <v>31</v>
      </c>
      <c r="C580" s="35">
        <v>122.58</v>
      </c>
      <c r="D580" s="35">
        <v>297.94099999999997</v>
      </c>
      <c r="E580" s="41">
        <v>729.47900000000004</v>
      </c>
      <c r="F580" s="35">
        <v>1150</v>
      </c>
      <c r="G580" s="35">
        <v>100</v>
      </c>
      <c r="H580" s="43">
        <v>600</v>
      </c>
      <c r="I580" s="35">
        <v>695</v>
      </c>
      <c r="J580" s="35">
        <v>50</v>
      </c>
      <c r="K580" s="36"/>
      <c r="L580" s="36"/>
      <c r="M580" s="36"/>
      <c r="N580" s="36"/>
      <c r="O580" s="36"/>
      <c r="P580" s="36"/>
      <c r="Q580" s="36"/>
      <c r="R580" s="36"/>
      <c r="S580" s="36"/>
      <c r="T580" s="36"/>
    </row>
    <row r="581" spans="1:20" ht="15.75">
      <c r="A581" s="13">
        <v>59202</v>
      </c>
      <c r="B581" s="44">
        <f t="shared" ref="B581:B644" si="0">EOMONTH(A581,0)-EOMONTH(A581,-1)</f>
        <v>31</v>
      </c>
      <c r="C581" s="35">
        <v>122.58</v>
      </c>
      <c r="D581" s="35">
        <v>297.94099999999997</v>
      </c>
      <c r="E581" s="41">
        <v>729.47900000000004</v>
      </c>
      <c r="F581" s="35">
        <v>1150</v>
      </c>
      <c r="G581" s="35">
        <v>100</v>
      </c>
      <c r="H581" s="43">
        <v>600</v>
      </c>
      <c r="I581" s="35">
        <v>695</v>
      </c>
      <c r="J581" s="35">
        <v>50</v>
      </c>
      <c r="K581" s="36"/>
      <c r="L581" s="36"/>
      <c r="M581" s="36"/>
      <c r="N581" s="36"/>
      <c r="O581" s="36"/>
      <c r="P581" s="36"/>
      <c r="Q581" s="36"/>
      <c r="R581" s="36"/>
      <c r="S581" s="36"/>
      <c r="T581" s="36"/>
    </row>
    <row r="582" spans="1:20" ht="15.75">
      <c r="A582" s="13">
        <v>59230</v>
      </c>
      <c r="B582" s="44">
        <f t="shared" si="0"/>
        <v>28</v>
      </c>
      <c r="C582" s="35">
        <v>122.58</v>
      </c>
      <c r="D582" s="35">
        <v>297.94099999999997</v>
      </c>
      <c r="E582" s="41">
        <v>729.47900000000004</v>
      </c>
      <c r="F582" s="35">
        <v>1150</v>
      </c>
      <c r="G582" s="35">
        <v>100</v>
      </c>
      <c r="H582" s="43">
        <v>600</v>
      </c>
      <c r="I582" s="35">
        <v>695</v>
      </c>
      <c r="J582" s="35">
        <v>50</v>
      </c>
      <c r="K582" s="36"/>
      <c r="L582" s="36"/>
      <c r="M582" s="36"/>
      <c r="N582" s="36"/>
      <c r="O582" s="36"/>
      <c r="P582" s="36"/>
      <c r="Q582" s="36"/>
      <c r="R582" s="36"/>
      <c r="S582" s="36"/>
      <c r="T582" s="36"/>
    </row>
    <row r="583" spans="1:20" ht="15.75">
      <c r="A583" s="13">
        <v>59261</v>
      </c>
      <c r="B583" s="44">
        <f t="shared" si="0"/>
        <v>31</v>
      </c>
      <c r="C583" s="35">
        <v>122.58</v>
      </c>
      <c r="D583" s="35">
        <v>297.94099999999997</v>
      </c>
      <c r="E583" s="41">
        <v>729.47900000000004</v>
      </c>
      <c r="F583" s="35">
        <v>1150</v>
      </c>
      <c r="G583" s="35">
        <v>100</v>
      </c>
      <c r="H583" s="43">
        <v>600</v>
      </c>
      <c r="I583" s="35">
        <v>695</v>
      </c>
      <c r="J583" s="35">
        <v>50</v>
      </c>
      <c r="K583" s="36"/>
      <c r="L583" s="36"/>
      <c r="M583" s="36"/>
      <c r="N583" s="36"/>
      <c r="O583" s="36"/>
      <c r="P583" s="36"/>
      <c r="Q583" s="36"/>
      <c r="R583" s="36"/>
      <c r="S583" s="36"/>
      <c r="T583" s="36"/>
    </row>
    <row r="584" spans="1:20" ht="15.75">
      <c r="A584" s="13">
        <v>59291</v>
      </c>
      <c r="B584" s="44">
        <f t="shared" si="0"/>
        <v>30</v>
      </c>
      <c r="C584" s="35">
        <v>141.29300000000001</v>
      </c>
      <c r="D584" s="35">
        <v>267.99299999999999</v>
      </c>
      <c r="E584" s="41">
        <v>829.71400000000006</v>
      </c>
      <c r="F584" s="35">
        <v>1239</v>
      </c>
      <c r="G584" s="35">
        <v>100</v>
      </c>
      <c r="H584" s="43">
        <v>600</v>
      </c>
      <c r="I584" s="35">
        <v>695</v>
      </c>
      <c r="J584" s="35">
        <v>50</v>
      </c>
      <c r="K584" s="36"/>
      <c r="L584" s="36"/>
      <c r="M584" s="36"/>
      <c r="N584" s="36"/>
      <c r="O584" s="36"/>
      <c r="P584" s="36"/>
      <c r="Q584" s="36"/>
      <c r="R584" s="36"/>
      <c r="S584" s="36"/>
      <c r="T584" s="36"/>
    </row>
    <row r="585" spans="1:20" ht="15.75">
      <c r="A585" s="13">
        <v>59322</v>
      </c>
      <c r="B585" s="44">
        <f t="shared" si="0"/>
        <v>31</v>
      </c>
      <c r="C585" s="35">
        <v>194.20500000000001</v>
      </c>
      <c r="D585" s="35">
        <v>267.46600000000001</v>
      </c>
      <c r="E585" s="41">
        <v>812.32899999999995</v>
      </c>
      <c r="F585" s="35">
        <v>1274</v>
      </c>
      <c r="G585" s="35">
        <v>75</v>
      </c>
      <c r="H585" s="43">
        <v>600</v>
      </c>
      <c r="I585" s="35">
        <v>695</v>
      </c>
      <c r="J585" s="35">
        <v>50</v>
      </c>
      <c r="K585" s="36"/>
      <c r="L585" s="36"/>
      <c r="M585" s="36"/>
      <c r="N585" s="36"/>
      <c r="O585" s="36"/>
      <c r="P585" s="36"/>
      <c r="Q585" s="36"/>
      <c r="R585" s="36"/>
      <c r="S585" s="36"/>
      <c r="T585" s="36"/>
    </row>
    <row r="586" spans="1:20" ht="15.75">
      <c r="A586" s="13">
        <v>59352</v>
      </c>
      <c r="B586" s="44">
        <f t="shared" si="0"/>
        <v>30</v>
      </c>
      <c r="C586" s="35">
        <v>194.20500000000001</v>
      </c>
      <c r="D586" s="35">
        <v>267.46600000000001</v>
      </c>
      <c r="E586" s="41">
        <v>812.32899999999995</v>
      </c>
      <c r="F586" s="35">
        <v>1274</v>
      </c>
      <c r="G586" s="35">
        <v>50</v>
      </c>
      <c r="H586" s="43">
        <v>600</v>
      </c>
      <c r="I586" s="35">
        <v>695</v>
      </c>
      <c r="J586" s="35">
        <v>50</v>
      </c>
      <c r="K586" s="36"/>
      <c r="L586" s="36"/>
      <c r="M586" s="36"/>
      <c r="N586" s="36"/>
      <c r="O586" s="36"/>
      <c r="P586" s="36"/>
      <c r="Q586" s="36"/>
      <c r="R586" s="36"/>
      <c r="S586" s="36"/>
      <c r="T586" s="36"/>
    </row>
    <row r="587" spans="1:20" ht="15.75">
      <c r="A587" s="13">
        <v>59383</v>
      </c>
      <c r="B587" s="44">
        <f t="shared" si="0"/>
        <v>31</v>
      </c>
      <c r="C587" s="35">
        <v>194.20500000000001</v>
      </c>
      <c r="D587" s="35">
        <v>267.46600000000001</v>
      </c>
      <c r="E587" s="41">
        <v>812.32899999999995</v>
      </c>
      <c r="F587" s="35">
        <v>1274</v>
      </c>
      <c r="G587" s="35">
        <v>50</v>
      </c>
      <c r="H587" s="43">
        <v>600</v>
      </c>
      <c r="I587" s="35">
        <v>695</v>
      </c>
      <c r="J587" s="35">
        <v>0</v>
      </c>
      <c r="K587" s="36"/>
      <c r="L587" s="36"/>
      <c r="M587" s="36"/>
      <c r="N587" s="36"/>
      <c r="O587" s="36"/>
      <c r="P587" s="36"/>
      <c r="Q587" s="36"/>
      <c r="R587" s="36"/>
      <c r="S587" s="36"/>
      <c r="T587" s="36"/>
    </row>
    <row r="588" spans="1:20" ht="15.75">
      <c r="A588" s="13">
        <v>59414</v>
      </c>
      <c r="B588" s="44">
        <f t="shared" si="0"/>
        <v>31</v>
      </c>
      <c r="C588" s="35">
        <v>194.20500000000001</v>
      </c>
      <c r="D588" s="35">
        <v>267.46600000000001</v>
      </c>
      <c r="E588" s="41">
        <v>812.32899999999995</v>
      </c>
      <c r="F588" s="35">
        <v>1274</v>
      </c>
      <c r="G588" s="35">
        <v>50</v>
      </c>
      <c r="H588" s="43">
        <v>600</v>
      </c>
      <c r="I588" s="35">
        <v>695</v>
      </c>
      <c r="J588" s="35">
        <v>0</v>
      </c>
      <c r="K588" s="36"/>
      <c r="L588" s="36"/>
      <c r="M588" s="36"/>
      <c r="N588" s="36"/>
      <c r="O588" s="36"/>
      <c r="P588" s="36"/>
      <c r="Q588" s="36"/>
      <c r="R588" s="36"/>
      <c r="S588" s="36"/>
      <c r="T588" s="36"/>
    </row>
    <row r="589" spans="1:20" ht="15.75">
      <c r="A589" s="13">
        <v>59444</v>
      </c>
      <c r="B589" s="44">
        <f t="shared" si="0"/>
        <v>30</v>
      </c>
      <c r="C589" s="35">
        <v>194.20500000000001</v>
      </c>
      <c r="D589" s="35">
        <v>267.46600000000001</v>
      </c>
      <c r="E589" s="41">
        <v>812.32899999999995</v>
      </c>
      <c r="F589" s="35">
        <v>1274</v>
      </c>
      <c r="G589" s="35">
        <v>50</v>
      </c>
      <c r="H589" s="43">
        <v>600</v>
      </c>
      <c r="I589" s="35">
        <v>695</v>
      </c>
      <c r="J589" s="35">
        <v>0</v>
      </c>
      <c r="K589" s="36"/>
      <c r="L589" s="36"/>
      <c r="M589" s="36"/>
      <c r="N589" s="36"/>
      <c r="O589" s="36"/>
      <c r="P589" s="36"/>
      <c r="Q589" s="36"/>
      <c r="R589" s="36"/>
      <c r="S589" s="36"/>
      <c r="T589" s="36"/>
    </row>
    <row r="590" spans="1:20" ht="15.75">
      <c r="A590" s="13">
        <v>59475</v>
      </c>
      <c r="B590" s="44">
        <f t="shared" si="0"/>
        <v>31</v>
      </c>
      <c r="C590" s="35">
        <v>131.881</v>
      </c>
      <c r="D590" s="35">
        <v>277.16699999999997</v>
      </c>
      <c r="E590" s="41">
        <v>829.952</v>
      </c>
      <c r="F590" s="35">
        <v>1239</v>
      </c>
      <c r="G590" s="35">
        <v>75</v>
      </c>
      <c r="H590" s="43">
        <v>600</v>
      </c>
      <c r="I590" s="35">
        <v>695</v>
      </c>
      <c r="J590" s="35">
        <v>0</v>
      </c>
      <c r="K590" s="36"/>
      <c r="L590" s="36"/>
      <c r="M590" s="36"/>
      <c r="N590" s="36"/>
      <c r="O590" s="36"/>
      <c r="P590" s="36"/>
      <c r="Q590" s="36"/>
      <c r="R590" s="36"/>
      <c r="S590" s="36"/>
      <c r="T590" s="36"/>
    </row>
    <row r="591" spans="1:20" ht="15.75">
      <c r="A591" s="13">
        <v>59505</v>
      </c>
      <c r="B591" s="44">
        <f t="shared" si="0"/>
        <v>30</v>
      </c>
      <c r="C591" s="35">
        <v>122.58</v>
      </c>
      <c r="D591" s="35">
        <v>297.94099999999997</v>
      </c>
      <c r="E591" s="41">
        <v>729.47900000000004</v>
      </c>
      <c r="F591" s="35">
        <v>1150</v>
      </c>
      <c r="G591" s="35">
        <v>100</v>
      </c>
      <c r="H591" s="43">
        <v>600</v>
      </c>
      <c r="I591" s="35">
        <v>695</v>
      </c>
      <c r="J591" s="35">
        <v>50</v>
      </c>
      <c r="K591" s="36"/>
      <c r="L591" s="36"/>
      <c r="M591" s="36"/>
      <c r="N591" s="36"/>
      <c r="O591" s="36"/>
      <c r="P591" s="36"/>
      <c r="Q591" s="36"/>
      <c r="R591" s="36"/>
      <c r="S591" s="36"/>
      <c r="T591" s="36"/>
    </row>
    <row r="592" spans="1:20" ht="15.75">
      <c r="A592" s="13">
        <v>59536</v>
      </c>
      <c r="B592" s="44">
        <f t="shared" si="0"/>
        <v>31</v>
      </c>
      <c r="C592" s="35">
        <v>122.58</v>
      </c>
      <c r="D592" s="35">
        <v>297.94099999999997</v>
      </c>
      <c r="E592" s="41">
        <v>729.47900000000004</v>
      </c>
      <c r="F592" s="35">
        <v>1150</v>
      </c>
      <c r="G592" s="35">
        <v>100</v>
      </c>
      <c r="H592" s="43">
        <v>600</v>
      </c>
      <c r="I592" s="35">
        <v>695</v>
      </c>
      <c r="J592" s="35">
        <v>50</v>
      </c>
      <c r="K592" s="36"/>
      <c r="L592" s="36"/>
      <c r="M592" s="36"/>
      <c r="N592" s="36"/>
      <c r="O592" s="36"/>
      <c r="P592" s="36"/>
      <c r="Q592" s="36"/>
      <c r="R592" s="36"/>
      <c r="S592" s="36"/>
      <c r="T592" s="36"/>
    </row>
    <row r="593" spans="1:20" ht="15.75">
      <c r="A593" s="13">
        <v>59567</v>
      </c>
      <c r="B593" s="44">
        <f t="shared" si="0"/>
        <v>31</v>
      </c>
      <c r="C593" s="35">
        <v>122.58</v>
      </c>
      <c r="D593" s="35">
        <v>297.94099999999997</v>
      </c>
      <c r="E593" s="41">
        <v>729.47900000000004</v>
      </c>
      <c r="F593" s="35">
        <v>1150</v>
      </c>
      <c r="G593" s="35">
        <v>100</v>
      </c>
      <c r="H593" s="43">
        <v>600</v>
      </c>
      <c r="I593" s="35">
        <v>695</v>
      </c>
      <c r="J593" s="35">
        <v>50</v>
      </c>
      <c r="K593" s="36"/>
      <c r="L593" s="36"/>
      <c r="M593" s="36"/>
      <c r="N593" s="36"/>
      <c r="O593" s="36"/>
      <c r="P593" s="36"/>
      <c r="Q593" s="36"/>
      <c r="R593" s="36"/>
      <c r="S593" s="36"/>
      <c r="T593" s="36"/>
    </row>
    <row r="594" spans="1:20" ht="15.75">
      <c r="A594" s="13">
        <v>59595</v>
      </c>
      <c r="B594" s="44">
        <f t="shared" si="0"/>
        <v>28</v>
      </c>
      <c r="C594" s="35">
        <v>122.58</v>
      </c>
      <c r="D594" s="35">
        <v>297.94099999999997</v>
      </c>
      <c r="E594" s="41">
        <v>729.47900000000004</v>
      </c>
      <c r="F594" s="35">
        <v>1150</v>
      </c>
      <c r="G594" s="35">
        <v>100</v>
      </c>
      <c r="H594" s="43">
        <v>600</v>
      </c>
      <c r="I594" s="35">
        <v>695</v>
      </c>
      <c r="J594" s="35">
        <v>50</v>
      </c>
      <c r="K594" s="36"/>
      <c r="L594" s="36"/>
      <c r="M594" s="36"/>
      <c r="N594" s="36"/>
      <c r="O594" s="36"/>
      <c r="P594" s="36"/>
      <c r="Q594" s="36"/>
      <c r="R594" s="36"/>
      <c r="S594" s="36"/>
      <c r="T594" s="36"/>
    </row>
    <row r="595" spans="1:20" ht="15.75">
      <c r="A595" s="13">
        <v>59626</v>
      </c>
      <c r="B595" s="44">
        <f t="shared" si="0"/>
        <v>31</v>
      </c>
      <c r="C595" s="35">
        <v>122.58</v>
      </c>
      <c r="D595" s="35">
        <v>297.94099999999997</v>
      </c>
      <c r="E595" s="41">
        <v>729.47900000000004</v>
      </c>
      <c r="F595" s="35">
        <v>1150</v>
      </c>
      <c r="G595" s="35">
        <v>100</v>
      </c>
      <c r="H595" s="43">
        <v>600</v>
      </c>
      <c r="I595" s="35">
        <v>695</v>
      </c>
      <c r="J595" s="35">
        <v>50</v>
      </c>
      <c r="K595" s="36"/>
      <c r="L595" s="36"/>
      <c r="M595" s="36"/>
      <c r="N595" s="36"/>
      <c r="O595" s="36"/>
      <c r="P595" s="36"/>
      <c r="Q595" s="36"/>
      <c r="R595" s="36"/>
      <c r="S595" s="36"/>
      <c r="T595" s="36"/>
    </row>
    <row r="596" spans="1:20" ht="15.75">
      <c r="A596" s="13">
        <v>59656</v>
      </c>
      <c r="B596" s="44">
        <f t="shared" si="0"/>
        <v>30</v>
      </c>
      <c r="C596" s="35">
        <v>141.29300000000001</v>
      </c>
      <c r="D596" s="35">
        <v>267.99299999999999</v>
      </c>
      <c r="E596" s="41">
        <v>829.71400000000006</v>
      </c>
      <c r="F596" s="35">
        <v>1239</v>
      </c>
      <c r="G596" s="35">
        <v>100</v>
      </c>
      <c r="H596" s="43">
        <v>600</v>
      </c>
      <c r="I596" s="35">
        <v>695</v>
      </c>
      <c r="J596" s="35">
        <v>50</v>
      </c>
      <c r="K596" s="36"/>
      <c r="L596" s="36"/>
      <c r="M596" s="36"/>
      <c r="N596" s="36"/>
      <c r="O596" s="36"/>
      <c r="P596" s="36"/>
      <c r="Q596" s="36"/>
      <c r="R596" s="36"/>
      <c r="S596" s="36"/>
      <c r="T596" s="36"/>
    </row>
    <row r="597" spans="1:20" ht="15.75">
      <c r="A597" s="13">
        <v>59687</v>
      </c>
      <c r="B597" s="44">
        <f t="shared" si="0"/>
        <v>31</v>
      </c>
      <c r="C597" s="35">
        <v>194.20500000000001</v>
      </c>
      <c r="D597" s="35">
        <v>267.46600000000001</v>
      </c>
      <c r="E597" s="41">
        <v>812.32899999999995</v>
      </c>
      <c r="F597" s="35">
        <v>1274</v>
      </c>
      <c r="G597" s="35">
        <v>75</v>
      </c>
      <c r="H597" s="43">
        <v>600</v>
      </c>
      <c r="I597" s="35">
        <v>695</v>
      </c>
      <c r="J597" s="35">
        <v>50</v>
      </c>
      <c r="K597" s="36"/>
      <c r="L597" s="36"/>
      <c r="M597" s="36"/>
      <c r="N597" s="36"/>
      <c r="O597" s="36"/>
      <c r="P597" s="36"/>
      <c r="Q597" s="36"/>
      <c r="R597" s="36"/>
      <c r="S597" s="36"/>
      <c r="T597" s="36"/>
    </row>
    <row r="598" spans="1:20" ht="15.75">
      <c r="A598" s="13">
        <v>59717</v>
      </c>
      <c r="B598" s="44">
        <f t="shared" si="0"/>
        <v>30</v>
      </c>
      <c r="C598" s="35">
        <v>194.20500000000001</v>
      </c>
      <c r="D598" s="35">
        <v>267.46600000000001</v>
      </c>
      <c r="E598" s="41">
        <v>812.32899999999995</v>
      </c>
      <c r="F598" s="35">
        <v>1274</v>
      </c>
      <c r="G598" s="35">
        <v>50</v>
      </c>
      <c r="H598" s="43">
        <v>600</v>
      </c>
      <c r="I598" s="35">
        <v>695</v>
      </c>
      <c r="J598" s="35">
        <v>50</v>
      </c>
      <c r="K598" s="36"/>
      <c r="L598" s="36"/>
      <c r="M598" s="36"/>
      <c r="N598" s="36"/>
      <c r="O598" s="36"/>
      <c r="P598" s="36"/>
      <c r="Q598" s="36"/>
      <c r="R598" s="36"/>
      <c r="S598" s="36"/>
      <c r="T598" s="36"/>
    </row>
    <row r="599" spans="1:20" ht="15.75">
      <c r="A599" s="13">
        <v>59748</v>
      </c>
      <c r="B599" s="44">
        <f t="shared" si="0"/>
        <v>31</v>
      </c>
      <c r="C599" s="35">
        <v>194.20500000000001</v>
      </c>
      <c r="D599" s="35">
        <v>267.46600000000001</v>
      </c>
      <c r="E599" s="41">
        <v>812.32899999999995</v>
      </c>
      <c r="F599" s="35">
        <v>1274</v>
      </c>
      <c r="G599" s="35">
        <v>50</v>
      </c>
      <c r="H599" s="43">
        <v>600</v>
      </c>
      <c r="I599" s="35">
        <v>695</v>
      </c>
      <c r="J599" s="35">
        <v>0</v>
      </c>
      <c r="K599" s="36"/>
      <c r="L599" s="36"/>
      <c r="M599" s="36"/>
      <c r="N599" s="36"/>
      <c r="O599" s="36"/>
      <c r="P599" s="36"/>
      <c r="Q599" s="36"/>
      <c r="R599" s="36"/>
      <c r="S599" s="36"/>
      <c r="T599" s="36"/>
    </row>
    <row r="600" spans="1:20" ht="15.75">
      <c r="A600" s="13">
        <v>59779</v>
      </c>
      <c r="B600" s="44">
        <f t="shared" si="0"/>
        <v>31</v>
      </c>
      <c r="C600" s="35">
        <v>194.20500000000001</v>
      </c>
      <c r="D600" s="35">
        <v>267.46600000000001</v>
      </c>
      <c r="E600" s="41">
        <v>812.32899999999995</v>
      </c>
      <c r="F600" s="35">
        <v>1274</v>
      </c>
      <c r="G600" s="35">
        <v>50</v>
      </c>
      <c r="H600" s="43">
        <v>600</v>
      </c>
      <c r="I600" s="35">
        <v>695</v>
      </c>
      <c r="J600" s="35">
        <v>0</v>
      </c>
      <c r="K600" s="36"/>
      <c r="L600" s="36"/>
      <c r="M600" s="36"/>
      <c r="N600" s="36"/>
      <c r="O600" s="36"/>
      <c r="P600" s="36"/>
      <c r="Q600" s="36"/>
      <c r="R600" s="36"/>
      <c r="S600" s="36"/>
      <c r="T600" s="36"/>
    </row>
    <row r="601" spans="1:20" ht="15.75">
      <c r="A601" s="13">
        <v>59809</v>
      </c>
      <c r="B601" s="44">
        <f t="shared" si="0"/>
        <v>30</v>
      </c>
      <c r="C601" s="35">
        <v>194.20500000000001</v>
      </c>
      <c r="D601" s="35">
        <v>267.46600000000001</v>
      </c>
      <c r="E601" s="41">
        <v>812.32899999999995</v>
      </c>
      <c r="F601" s="35">
        <v>1274</v>
      </c>
      <c r="G601" s="35">
        <v>50</v>
      </c>
      <c r="H601" s="43">
        <v>600</v>
      </c>
      <c r="I601" s="35">
        <v>695</v>
      </c>
      <c r="J601" s="35">
        <v>0</v>
      </c>
      <c r="K601" s="36"/>
      <c r="L601" s="36"/>
      <c r="M601" s="36"/>
      <c r="N601" s="36"/>
      <c r="O601" s="36"/>
      <c r="P601" s="36"/>
      <c r="Q601" s="36"/>
      <c r="R601" s="36"/>
      <c r="S601" s="36"/>
      <c r="T601" s="36"/>
    </row>
    <row r="602" spans="1:20" ht="15.75">
      <c r="A602" s="13">
        <v>59840</v>
      </c>
      <c r="B602" s="44">
        <f t="shared" si="0"/>
        <v>31</v>
      </c>
      <c r="C602" s="35">
        <v>131.881</v>
      </c>
      <c r="D602" s="35">
        <v>277.16699999999997</v>
      </c>
      <c r="E602" s="41">
        <v>829.952</v>
      </c>
      <c r="F602" s="35">
        <v>1239</v>
      </c>
      <c r="G602" s="35">
        <v>75</v>
      </c>
      <c r="H602" s="43">
        <v>600</v>
      </c>
      <c r="I602" s="35">
        <v>695</v>
      </c>
      <c r="J602" s="35">
        <v>0</v>
      </c>
      <c r="K602" s="36"/>
      <c r="L602" s="36"/>
      <c r="M602" s="36"/>
      <c r="N602" s="36"/>
      <c r="O602" s="36"/>
      <c r="P602" s="36"/>
      <c r="Q602" s="36"/>
      <c r="R602" s="36"/>
      <c r="S602" s="36"/>
      <c r="T602" s="36"/>
    </row>
    <row r="603" spans="1:20" ht="15.75">
      <c r="A603" s="13">
        <v>59870</v>
      </c>
      <c r="B603" s="44">
        <f t="shared" si="0"/>
        <v>30</v>
      </c>
      <c r="C603" s="35">
        <v>122.58</v>
      </c>
      <c r="D603" s="35">
        <v>297.94099999999997</v>
      </c>
      <c r="E603" s="41">
        <v>729.47900000000004</v>
      </c>
      <c r="F603" s="35">
        <v>1150</v>
      </c>
      <c r="G603" s="35">
        <v>100</v>
      </c>
      <c r="H603" s="43">
        <v>600</v>
      </c>
      <c r="I603" s="35">
        <v>695</v>
      </c>
      <c r="J603" s="35">
        <v>50</v>
      </c>
      <c r="K603" s="36"/>
      <c r="L603" s="36"/>
      <c r="M603" s="36"/>
      <c r="N603" s="36"/>
      <c r="O603" s="36"/>
      <c r="P603" s="36"/>
      <c r="Q603" s="36"/>
      <c r="R603" s="36"/>
      <c r="S603" s="36"/>
      <c r="T603" s="36"/>
    </row>
    <row r="604" spans="1:20" ht="15.75">
      <c r="A604" s="13">
        <v>59901</v>
      </c>
      <c r="B604" s="44">
        <f t="shared" si="0"/>
        <v>31</v>
      </c>
      <c r="C604" s="35">
        <v>122.58</v>
      </c>
      <c r="D604" s="35">
        <v>297.94099999999997</v>
      </c>
      <c r="E604" s="41">
        <v>729.47900000000004</v>
      </c>
      <c r="F604" s="35">
        <v>1150</v>
      </c>
      <c r="G604" s="35">
        <v>100</v>
      </c>
      <c r="H604" s="43">
        <v>600</v>
      </c>
      <c r="I604" s="35">
        <v>695</v>
      </c>
      <c r="J604" s="35">
        <v>50</v>
      </c>
      <c r="K604" s="36"/>
      <c r="L604" s="36"/>
      <c r="M604" s="36"/>
      <c r="N604" s="36"/>
      <c r="O604" s="36"/>
      <c r="P604" s="36"/>
      <c r="Q604" s="36"/>
      <c r="R604" s="36"/>
      <c r="S604" s="36"/>
      <c r="T604" s="36"/>
    </row>
    <row r="605" spans="1:20" ht="15.75">
      <c r="A605" s="13">
        <v>59932</v>
      </c>
      <c r="B605" s="44">
        <f t="shared" si="0"/>
        <v>31</v>
      </c>
      <c r="C605" s="35">
        <v>122.58</v>
      </c>
      <c r="D605" s="35">
        <v>297.94099999999997</v>
      </c>
      <c r="E605" s="41">
        <v>729.47900000000004</v>
      </c>
      <c r="F605" s="35">
        <v>1150</v>
      </c>
      <c r="G605" s="35">
        <v>100</v>
      </c>
      <c r="H605" s="43">
        <v>600</v>
      </c>
      <c r="I605" s="35">
        <v>695</v>
      </c>
      <c r="J605" s="35">
        <v>50</v>
      </c>
      <c r="K605" s="36"/>
      <c r="L605" s="36"/>
      <c r="M605" s="36"/>
      <c r="N605" s="36"/>
      <c r="O605" s="36"/>
      <c r="P605" s="36"/>
      <c r="Q605" s="36"/>
      <c r="R605" s="36"/>
      <c r="S605" s="36"/>
      <c r="T605" s="36"/>
    </row>
    <row r="606" spans="1:20" ht="15.75">
      <c r="A606" s="13">
        <v>59961</v>
      </c>
      <c r="B606" s="44">
        <f t="shared" si="0"/>
        <v>29</v>
      </c>
      <c r="C606" s="35">
        <v>122.58</v>
      </c>
      <c r="D606" s="35">
        <v>297.94099999999997</v>
      </c>
      <c r="E606" s="41">
        <v>729.47900000000004</v>
      </c>
      <c r="F606" s="35">
        <v>1150</v>
      </c>
      <c r="G606" s="35">
        <v>100</v>
      </c>
      <c r="H606" s="43">
        <v>600</v>
      </c>
      <c r="I606" s="35">
        <v>695</v>
      </c>
      <c r="J606" s="35">
        <v>50</v>
      </c>
      <c r="K606" s="36"/>
      <c r="L606" s="36"/>
      <c r="M606" s="36"/>
      <c r="N606" s="36"/>
      <c r="O606" s="36"/>
      <c r="P606" s="36"/>
      <c r="Q606" s="36"/>
      <c r="R606" s="36"/>
      <c r="S606" s="36"/>
      <c r="T606" s="36"/>
    </row>
    <row r="607" spans="1:20" ht="15.75">
      <c r="A607" s="13">
        <v>59992</v>
      </c>
      <c r="B607" s="44">
        <f t="shared" si="0"/>
        <v>31</v>
      </c>
      <c r="C607" s="35">
        <v>122.58</v>
      </c>
      <c r="D607" s="35">
        <v>297.94099999999997</v>
      </c>
      <c r="E607" s="41">
        <v>729.47900000000004</v>
      </c>
      <c r="F607" s="35">
        <v>1150</v>
      </c>
      <c r="G607" s="35">
        <v>100</v>
      </c>
      <c r="H607" s="43">
        <v>600</v>
      </c>
      <c r="I607" s="35">
        <v>695</v>
      </c>
      <c r="J607" s="35">
        <v>50</v>
      </c>
      <c r="K607" s="36"/>
      <c r="L607" s="36"/>
      <c r="M607" s="36"/>
      <c r="N607" s="36"/>
      <c r="O607" s="36"/>
      <c r="P607" s="36"/>
      <c r="Q607" s="36"/>
      <c r="R607" s="36"/>
      <c r="S607" s="36"/>
      <c r="T607" s="36"/>
    </row>
    <row r="608" spans="1:20" ht="15.75">
      <c r="A608" s="13">
        <v>60022</v>
      </c>
      <c r="B608" s="44">
        <f t="shared" si="0"/>
        <v>30</v>
      </c>
      <c r="C608" s="35">
        <v>141.29300000000001</v>
      </c>
      <c r="D608" s="35">
        <v>267.99299999999999</v>
      </c>
      <c r="E608" s="41">
        <v>829.71400000000006</v>
      </c>
      <c r="F608" s="35">
        <v>1239</v>
      </c>
      <c r="G608" s="35">
        <v>100</v>
      </c>
      <c r="H608" s="43">
        <v>600</v>
      </c>
      <c r="I608" s="35">
        <v>695</v>
      </c>
      <c r="J608" s="35">
        <v>50</v>
      </c>
      <c r="K608" s="36"/>
      <c r="L608" s="36"/>
      <c r="M608" s="36"/>
      <c r="N608" s="36"/>
      <c r="O608" s="36"/>
      <c r="P608" s="36"/>
      <c r="Q608" s="36"/>
      <c r="R608" s="36"/>
      <c r="S608" s="36"/>
      <c r="T608" s="36"/>
    </row>
    <row r="609" spans="1:20" ht="15.75">
      <c r="A609" s="13">
        <v>60053</v>
      </c>
      <c r="B609" s="44">
        <f t="shared" si="0"/>
        <v>31</v>
      </c>
      <c r="C609" s="35">
        <v>194.20500000000001</v>
      </c>
      <c r="D609" s="35">
        <v>267.46600000000001</v>
      </c>
      <c r="E609" s="41">
        <v>812.32899999999995</v>
      </c>
      <c r="F609" s="35">
        <v>1274</v>
      </c>
      <c r="G609" s="35">
        <v>75</v>
      </c>
      <c r="H609" s="43">
        <v>600</v>
      </c>
      <c r="I609" s="35">
        <v>695</v>
      </c>
      <c r="J609" s="35">
        <v>50</v>
      </c>
      <c r="K609" s="36"/>
      <c r="L609" s="36"/>
      <c r="M609" s="36"/>
      <c r="N609" s="36"/>
      <c r="O609" s="36"/>
      <c r="P609" s="36"/>
      <c r="Q609" s="36"/>
      <c r="R609" s="36"/>
      <c r="S609" s="36"/>
      <c r="T609" s="36"/>
    </row>
    <row r="610" spans="1:20" ht="15.75">
      <c r="A610" s="13">
        <v>60083</v>
      </c>
      <c r="B610" s="44">
        <f t="shared" si="0"/>
        <v>30</v>
      </c>
      <c r="C610" s="35">
        <v>194.20500000000001</v>
      </c>
      <c r="D610" s="35">
        <v>267.46600000000001</v>
      </c>
      <c r="E610" s="41">
        <v>812.32899999999995</v>
      </c>
      <c r="F610" s="35">
        <v>1274</v>
      </c>
      <c r="G610" s="35">
        <v>50</v>
      </c>
      <c r="H610" s="43">
        <v>600</v>
      </c>
      <c r="I610" s="35">
        <v>695</v>
      </c>
      <c r="J610" s="35">
        <v>50</v>
      </c>
      <c r="K610" s="36"/>
      <c r="L610" s="36"/>
      <c r="M610" s="36"/>
      <c r="N610" s="36"/>
      <c r="O610" s="36"/>
      <c r="P610" s="36"/>
      <c r="Q610" s="36"/>
      <c r="R610" s="36"/>
      <c r="S610" s="36"/>
      <c r="T610" s="36"/>
    </row>
    <row r="611" spans="1:20" ht="15.75">
      <c r="A611" s="13">
        <v>60114</v>
      </c>
      <c r="B611" s="44">
        <f t="shared" si="0"/>
        <v>31</v>
      </c>
      <c r="C611" s="35">
        <v>194.20500000000001</v>
      </c>
      <c r="D611" s="35">
        <v>267.46600000000001</v>
      </c>
      <c r="E611" s="41">
        <v>812.32899999999995</v>
      </c>
      <c r="F611" s="35">
        <v>1274</v>
      </c>
      <c r="G611" s="35">
        <v>50</v>
      </c>
      <c r="H611" s="43">
        <v>600</v>
      </c>
      <c r="I611" s="35">
        <v>695</v>
      </c>
      <c r="J611" s="35">
        <v>0</v>
      </c>
      <c r="K611" s="36"/>
      <c r="L611" s="36"/>
      <c r="M611" s="36"/>
      <c r="N611" s="36"/>
      <c r="O611" s="36"/>
      <c r="P611" s="36"/>
      <c r="Q611" s="36"/>
      <c r="R611" s="36"/>
      <c r="S611" s="36"/>
      <c r="T611" s="36"/>
    </row>
    <row r="612" spans="1:20" ht="15.75">
      <c r="A612" s="13">
        <v>60145</v>
      </c>
      <c r="B612" s="44">
        <f t="shared" si="0"/>
        <v>31</v>
      </c>
      <c r="C612" s="35">
        <v>194.20500000000001</v>
      </c>
      <c r="D612" s="35">
        <v>267.46600000000001</v>
      </c>
      <c r="E612" s="41">
        <v>812.32899999999995</v>
      </c>
      <c r="F612" s="35">
        <v>1274</v>
      </c>
      <c r="G612" s="35">
        <v>50</v>
      </c>
      <c r="H612" s="43">
        <v>600</v>
      </c>
      <c r="I612" s="35">
        <v>695</v>
      </c>
      <c r="J612" s="35">
        <v>0</v>
      </c>
      <c r="K612" s="36"/>
      <c r="L612" s="36"/>
      <c r="M612" s="36"/>
      <c r="N612" s="36"/>
      <c r="O612" s="36"/>
      <c r="P612" s="36"/>
      <c r="Q612" s="36"/>
      <c r="R612" s="36"/>
      <c r="S612" s="36"/>
      <c r="T612" s="36"/>
    </row>
    <row r="613" spans="1:20" ht="15.75">
      <c r="A613" s="13">
        <v>60175</v>
      </c>
      <c r="B613" s="44">
        <f t="shared" si="0"/>
        <v>30</v>
      </c>
      <c r="C613" s="35">
        <v>194.20500000000001</v>
      </c>
      <c r="D613" s="35">
        <v>267.46600000000001</v>
      </c>
      <c r="E613" s="41">
        <v>812.32899999999995</v>
      </c>
      <c r="F613" s="35">
        <v>1274</v>
      </c>
      <c r="G613" s="35">
        <v>50</v>
      </c>
      <c r="H613" s="43">
        <v>600</v>
      </c>
      <c r="I613" s="35">
        <v>695</v>
      </c>
      <c r="J613" s="35">
        <v>0</v>
      </c>
      <c r="K613" s="36"/>
      <c r="L613" s="36"/>
      <c r="M613" s="36"/>
      <c r="N613" s="36"/>
      <c r="O613" s="36"/>
      <c r="P613" s="36"/>
      <c r="Q613" s="36"/>
      <c r="R613" s="36"/>
      <c r="S613" s="36"/>
      <c r="T613" s="36"/>
    </row>
    <row r="614" spans="1:20" ht="15.75">
      <c r="A614" s="13">
        <v>60206</v>
      </c>
      <c r="B614" s="44">
        <f t="shared" si="0"/>
        <v>31</v>
      </c>
      <c r="C614" s="35">
        <v>131.881</v>
      </c>
      <c r="D614" s="35">
        <v>277.16699999999997</v>
      </c>
      <c r="E614" s="41">
        <v>829.952</v>
      </c>
      <c r="F614" s="35">
        <v>1239</v>
      </c>
      <c r="G614" s="35">
        <v>75</v>
      </c>
      <c r="H614" s="43">
        <v>600</v>
      </c>
      <c r="I614" s="35">
        <v>695</v>
      </c>
      <c r="J614" s="35">
        <v>0</v>
      </c>
      <c r="K614" s="36"/>
      <c r="L614" s="36"/>
      <c r="M614" s="36"/>
      <c r="N614" s="36"/>
      <c r="O614" s="36"/>
      <c r="P614" s="36"/>
      <c r="Q614" s="36"/>
      <c r="R614" s="36"/>
      <c r="S614" s="36"/>
      <c r="T614" s="36"/>
    </row>
    <row r="615" spans="1:20" ht="15.75">
      <c r="A615" s="13">
        <v>60236</v>
      </c>
      <c r="B615" s="44">
        <f t="shared" si="0"/>
        <v>30</v>
      </c>
      <c r="C615" s="35">
        <v>122.58</v>
      </c>
      <c r="D615" s="35">
        <v>297.94099999999997</v>
      </c>
      <c r="E615" s="41">
        <v>729.47900000000004</v>
      </c>
      <c r="F615" s="35">
        <v>1150</v>
      </c>
      <c r="G615" s="35">
        <v>100</v>
      </c>
      <c r="H615" s="43">
        <v>600</v>
      </c>
      <c r="I615" s="35">
        <v>695</v>
      </c>
      <c r="J615" s="35">
        <v>50</v>
      </c>
      <c r="K615" s="36"/>
      <c r="L615" s="36"/>
      <c r="M615" s="36"/>
      <c r="N615" s="36"/>
      <c r="O615" s="36"/>
      <c r="P615" s="36"/>
      <c r="Q615" s="36"/>
      <c r="R615" s="36"/>
      <c r="S615" s="36"/>
      <c r="T615" s="36"/>
    </row>
    <row r="616" spans="1:20" ht="15.75">
      <c r="A616" s="13">
        <v>60267</v>
      </c>
      <c r="B616" s="44">
        <f t="shared" si="0"/>
        <v>31</v>
      </c>
      <c r="C616" s="35">
        <v>122.58</v>
      </c>
      <c r="D616" s="35">
        <v>297.94099999999997</v>
      </c>
      <c r="E616" s="41">
        <v>729.47900000000004</v>
      </c>
      <c r="F616" s="35">
        <v>1150</v>
      </c>
      <c r="G616" s="35">
        <v>100</v>
      </c>
      <c r="H616" s="43">
        <v>600</v>
      </c>
      <c r="I616" s="35">
        <v>695</v>
      </c>
      <c r="J616" s="35">
        <v>50</v>
      </c>
      <c r="K616" s="36"/>
      <c r="L616" s="36"/>
      <c r="M616" s="36"/>
      <c r="N616" s="36"/>
      <c r="O616" s="36"/>
      <c r="P616" s="36"/>
      <c r="Q616" s="36"/>
      <c r="R616" s="36"/>
      <c r="S616" s="36"/>
      <c r="T616" s="36"/>
    </row>
    <row r="617" spans="1:20" ht="15.75">
      <c r="A617" s="13">
        <v>60298</v>
      </c>
      <c r="B617" s="44">
        <f t="shared" si="0"/>
        <v>31</v>
      </c>
      <c r="C617" s="35">
        <v>122.58</v>
      </c>
      <c r="D617" s="35">
        <v>297.94099999999997</v>
      </c>
      <c r="E617" s="41">
        <v>729.47900000000004</v>
      </c>
      <c r="F617" s="35">
        <v>1150</v>
      </c>
      <c r="G617" s="35">
        <v>100</v>
      </c>
      <c r="H617" s="43">
        <v>600</v>
      </c>
      <c r="I617" s="35">
        <v>695</v>
      </c>
      <c r="J617" s="35">
        <v>50</v>
      </c>
      <c r="K617" s="36"/>
      <c r="L617" s="36"/>
      <c r="M617" s="36"/>
      <c r="N617" s="36"/>
      <c r="O617" s="36"/>
      <c r="P617" s="36"/>
      <c r="Q617" s="36"/>
      <c r="R617" s="36"/>
      <c r="S617" s="36"/>
      <c r="T617" s="36"/>
    </row>
    <row r="618" spans="1:20" ht="15.75">
      <c r="A618" s="13">
        <v>60326</v>
      </c>
      <c r="B618" s="44">
        <f t="shared" si="0"/>
        <v>28</v>
      </c>
      <c r="C618" s="35">
        <v>122.58</v>
      </c>
      <c r="D618" s="35">
        <v>297.94099999999997</v>
      </c>
      <c r="E618" s="41">
        <v>729.47900000000004</v>
      </c>
      <c r="F618" s="35">
        <v>1150</v>
      </c>
      <c r="G618" s="35">
        <v>100</v>
      </c>
      <c r="H618" s="43">
        <v>600</v>
      </c>
      <c r="I618" s="35">
        <v>695</v>
      </c>
      <c r="J618" s="35">
        <v>50</v>
      </c>
      <c r="K618" s="36"/>
      <c r="L618" s="36"/>
      <c r="M618" s="36"/>
      <c r="N618" s="36"/>
      <c r="O618" s="36"/>
      <c r="P618" s="36"/>
      <c r="Q618" s="36"/>
      <c r="R618" s="36"/>
      <c r="S618" s="36"/>
      <c r="T618" s="36"/>
    </row>
    <row r="619" spans="1:20" ht="15.75">
      <c r="A619" s="13">
        <v>60357</v>
      </c>
      <c r="B619" s="44">
        <f t="shared" si="0"/>
        <v>31</v>
      </c>
      <c r="C619" s="35">
        <v>122.58</v>
      </c>
      <c r="D619" s="35">
        <v>297.94099999999997</v>
      </c>
      <c r="E619" s="41">
        <v>729.47900000000004</v>
      </c>
      <c r="F619" s="35">
        <v>1150</v>
      </c>
      <c r="G619" s="35">
        <v>100</v>
      </c>
      <c r="H619" s="43">
        <v>600</v>
      </c>
      <c r="I619" s="35">
        <v>695</v>
      </c>
      <c r="J619" s="35">
        <v>50</v>
      </c>
      <c r="K619" s="36"/>
      <c r="L619" s="36"/>
      <c r="M619" s="36"/>
      <c r="N619" s="36"/>
      <c r="O619" s="36"/>
      <c r="P619" s="36"/>
      <c r="Q619" s="36"/>
      <c r="R619" s="36"/>
      <c r="S619" s="36"/>
      <c r="T619" s="36"/>
    </row>
    <row r="620" spans="1:20" ht="15.75">
      <c r="A620" s="13">
        <v>60387</v>
      </c>
      <c r="B620" s="44">
        <f t="shared" si="0"/>
        <v>30</v>
      </c>
      <c r="C620" s="35">
        <v>141.29300000000001</v>
      </c>
      <c r="D620" s="35">
        <v>267.99299999999999</v>
      </c>
      <c r="E620" s="41">
        <v>829.71400000000006</v>
      </c>
      <c r="F620" s="35">
        <v>1239</v>
      </c>
      <c r="G620" s="35">
        <v>100</v>
      </c>
      <c r="H620" s="43">
        <v>600</v>
      </c>
      <c r="I620" s="35">
        <v>695</v>
      </c>
      <c r="J620" s="35">
        <v>50</v>
      </c>
      <c r="K620" s="36"/>
      <c r="L620" s="36"/>
      <c r="M620" s="36"/>
      <c r="N620" s="36"/>
      <c r="O620" s="36"/>
      <c r="P620" s="36"/>
      <c r="Q620" s="36"/>
      <c r="R620" s="36"/>
      <c r="S620" s="36"/>
      <c r="T620" s="36"/>
    </row>
    <row r="621" spans="1:20" ht="15.75">
      <c r="A621" s="13">
        <v>60418</v>
      </c>
      <c r="B621" s="44">
        <f t="shared" si="0"/>
        <v>31</v>
      </c>
      <c r="C621" s="35">
        <v>194.20500000000001</v>
      </c>
      <c r="D621" s="35">
        <v>267.46600000000001</v>
      </c>
      <c r="E621" s="41">
        <v>812.32899999999995</v>
      </c>
      <c r="F621" s="35">
        <v>1274</v>
      </c>
      <c r="G621" s="35">
        <v>75</v>
      </c>
      <c r="H621" s="43">
        <v>600</v>
      </c>
      <c r="I621" s="35">
        <v>695</v>
      </c>
      <c r="J621" s="35">
        <v>50</v>
      </c>
      <c r="K621" s="36"/>
      <c r="L621" s="36"/>
      <c r="M621" s="36"/>
      <c r="N621" s="36"/>
      <c r="O621" s="36"/>
      <c r="P621" s="36"/>
      <c r="Q621" s="36"/>
      <c r="R621" s="36"/>
      <c r="S621" s="36"/>
      <c r="T621" s="36"/>
    </row>
    <row r="622" spans="1:20" ht="15.75">
      <c r="A622" s="13">
        <v>60448</v>
      </c>
      <c r="B622" s="44">
        <f t="shared" si="0"/>
        <v>30</v>
      </c>
      <c r="C622" s="35">
        <v>194.20500000000001</v>
      </c>
      <c r="D622" s="35">
        <v>267.46600000000001</v>
      </c>
      <c r="E622" s="41">
        <v>812.32899999999995</v>
      </c>
      <c r="F622" s="35">
        <v>1274</v>
      </c>
      <c r="G622" s="35">
        <v>50</v>
      </c>
      <c r="H622" s="43">
        <v>600</v>
      </c>
      <c r="I622" s="35">
        <v>695</v>
      </c>
      <c r="J622" s="35">
        <v>50</v>
      </c>
      <c r="K622" s="36"/>
      <c r="L622" s="36"/>
      <c r="M622" s="36"/>
      <c r="N622" s="36"/>
      <c r="O622" s="36"/>
      <c r="P622" s="36"/>
      <c r="Q622" s="36"/>
      <c r="R622" s="36"/>
      <c r="S622" s="36"/>
      <c r="T622" s="36"/>
    </row>
    <row r="623" spans="1:20" ht="15.75">
      <c r="A623" s="13">
        <v>60479</v>
      </c>
      <c r="B623" s="44">
        <f t="shared" si="0"/>
        <v>31</v>
      </c>
      <c r="C623" s="35">
        <v>194.20500000000001</v>
      </c>
      <c r="D623" s="35">
        <v>267.46600000000001</v>
      </c>
      <c r="E623" s="41">
        <v>812.32899999999995</v>
      </c>
      <c r="F623" s="35">
        <v>1274</v>
      </c>
      <c r="G623" s="35">
        <v>50</v>
      </c>
      <c r="H623" s="43">
        <v>600</v>
      </c>
      <c r="I623" s="35">
        <v>695</v>
      </c>
      <c r="J623" s="35">
        <v>0</v>
      </c>
      <c r="K623" s="36"/>
      <c r="L623" s="36"/>
      <c r="M623" s="36"/>
      <c r="N623" s="36"/>
      <c r="O623" s="36"/>
      <c r="P623" s="36"/>
      <c r="Q623" s="36"/>
      <c r="R623" s="36"/>
      <c r="S623" s="36"/>
      <c r="T623" s="36"/>
    </row>
    <row r="624" spans="1:20" ht="15.75">
      <c r="A624" s="13">
        <v>60510</v>
      </c>
      <c r="B624" s="44">
        <f t="shared" si="0"/>
        <v>31</v>
      </c>
      <c r="C624" s="35">
        <v>194.20500000000001</v>
      </c>
      <c r="D624" s="35">
        <v>267.46600000000001</v>
      </c>
      <c r="E624" s="41">
        <v>812.32899999999995</v>
      </c>
      <c r="F624" s="35">
        <v>1274</v>
      </c>
      <c r="G624" s="35">
        <v>50</v>
      </c>
      <c r="H624" s="43">
        <v>600</v>
      </c>
      <c r="I624" s="35">
        <v>695</v>
      </c>
      <c r="J624" s="35">
        <v>0</v>
      </c>
      <c r="K624" s="36"/>
      <c r="L624" s="36"/>
      <c r="M624" s="36"/>
      <c r="N624" s="36"/>
      <c r="O624" s="36"/>
      <c r="P624" s="36"/>
      <c r="Q624" s="36"/>
      <c r="R624" s="36"/>
      <c r="S624" s="36"/>
      <c r="T624" s="36"/>
    </row>
    <row r="625" spans="1:20" ht="15.75">
      <c r="A625" s="13">
        <v>60540</v>
      </c>
      <c r="B625" s="44">
        <f t="shared" si="0"/>
        <v>30</v>
      </c>
      <c r="C625" s="35">
        <v>194.20500000000001</v>
      </c>
      <c r="D625" s="35">
        <v>267.46600000000001</v>
      </c>
      <c r="E625" s="41">
        <v>812.32899999999995</v>
      </c>
      <c r="F625" s="35">
        <v>1274</v>
      </c>
      <c r="G625" s="35">
        <v>50</v>
      </c>
      <c r="H625" s="43">
        <v>600</v>
      </c>
      <c r="I625" s="35">
        <v>695</v>
      </c>
      <c r="J625" s="35">
        <v>0</v>
      </c>
      <c r="K625" s="36"/>
      <c r="L625" s="36"/>
      <c r="M625" s="36"/>
      <c r="N625" s="36"/>
      <c r="O625" s="36"/>
      <c r="P625" s="36"/>
      <c r="Q625" s="36"/>
      <c r="R625" s="36"/>
      <c r="S625" s="36"/>
      <c r="T625" s="36"/>
    </row>
    <row r="626" spans="1:20" ht="15.75">
      <c r="A626" s="13">
        <v>60571</v>
      </c>
      <c r="B626" s="44">
        <f t="shared" si="0"/>
        <v>31</v>
      </c>
      <c r="C626" s="35">
        <v>131.881</v>
      </c>
      <c r="D626" s="35">
        <v>277.16699999999997</v>
      </c>
      <c r="E626" s="41">
        <v>829.952</v>
      </c>
      <c r="F626" s="35">
        <v>1239</v>
      </c>
      <c r="G626" s="35">
        <v>75</v>
      </c>
      <c r="H626" s="43">
        <v>600</v>
      </c>
      <c r="I626" s="35">
        <v>695</v>
      </c>
      <c r="J626" s="35">
        <v>0</v>
      </c>
      <c r="K626" s="36"/>
      <c r="L626" s="36"/>
      <c r="M626" s="36"/>
      <c r="N626" s="36"/>
      <c r="O626" s="36"/>
      <c r="P626" s="36"/>
      <c r="Q626" s="36"/>
      <c r="R626" s="36"/>
      <c r="S626" s="36"/>
      <c r="T626" s="36"/>
    </row>
    <row r="627" spans="1:20" ht="15.75">
      <c r="A627" s="13">
        <v>60601</v>
      </c>
      <c r="B627" s="44">
        <f t="shared" si="0"/>
        <v>30</v>
      </c>
      <c r="C627" s="35">
        <v>122.58</v>
      </c>
      <c r="D627" s="35">
        <v>297.94099999999997</v>
      </c>
      <c r="E627" s="41">
        <v>729.47900000000004</v>
      </c>
      <c r="F627" s="35">
        <v>1150</v>
      </c>
      <c r="G627" s="35">
        <v>100</v>
      </c>
      <c r="H627" s="43">
        <v>600</v>
      </c>
      <c r="I627" s="35">
        <v>695</v>
      </c>
      <c r="J627" s="35">
        <v>50</v>
      </c>
      <c r="K627" s="36"/>
      <c r="L627" s="36"/>
      <c r="M627" s="36"/>
      <c r="N627" s="36"/>
      <c r="O627" s="36"/>
      <c r="P627" s="36"/>
      <c r="Q627" s="36"/>
      <c r="R627" s="36"/>
      <c r="S627" s="36"/>
      <c r="T627" s="36"/>
    </row>
    <row r="628" spans="1:20" ht="15.75">
      <c r="A628" s="13">
        <v>60632</v>
      </c>
      <c r="B628" s="44">
        <f t="shared" si="0"/>
        <v>31</v>
      </c>
      <c r="C628" s="35">
        <v>122.58</v>
      </c>
      <c r="D628" s="35">
        <v>297.94099999999997</v>
      </c>
      <c r="E628" s="41">
        <v>729.47900000000004</v>
      </c>
      <c r="F628" s="35">
        <v>1150</v>
      </c>
      <c r="G628" s="35">
        <v>100</v>
      </c>
      <c r="H628" s="43">
        <v>600</v>
      </c>
      <c r="I628" s="35">
        <v>695</v>
      </c>
      <c r="J628" s="35">
        <v>50</v>
      </c>
      <c r="K628" s="36"/>
      <c r="L628" s="36"/>
      <c r="M628" s="36"/>
      <c r="N628" s="36"/>
      <c r="O628" s="36"/>
      <c r="P628" s="36"/>
      <c r="Q628" s="36"/>
      <c r="R628" s="36"/>
      <c r="S628" s="36"/>
      <c r="T628" s="36"/>
    </row>
    <row r="629" spans="1:20" ht="15.75">
      <c r="A629" s="13">
        <v>60663</v>
      </c>
      <c r="B629" s="44">
        <f t="shared" si="0"/>
        <v>31</v>
      </c>
      <c r="C629" s="35">
        <v>122.58</v>
      </c>
      <c r="D629" s="35">
        <v>297.94099999999997</v>
      </c>
      <c r="E629" s="41">
        <v>729.47900000000004</v>
      </c>
      <c r="F629" s="35">
        <v>1150</v>
      </c>
      <c r="G629" s="35">
        <v>100</v>
      </c>
      <c r="H629" s="43">
        <v>600</v>
      </c>
      <c r="I629" s="35">
        <v>695</v>
      </c>
      <c r="J629" s="35">
        <v>50</v>
      </c>
      <c r="K629" s="36"/>
      <c r="L629" s="36"/>
      <c r="M629" s="36"/>
      <c r="N629" s="36"/>
      <c r="O629" s="36"/>
      <c r="P629" s="36"/>
      <c r="Q629" s="36"/>
      <c r="R629" s="36"/>
      <c r="S629" s="36"/>
      <c r="T629" s="36"/>
    </row>
    <row r="630" spans="1:20" ht="15.75">
      <c r="A630" s="13">
        <v>60691</v>
      </c>
      <c r="B630" s="44">
        <f t="shared" si="0"/>
        <v>28</v>
      </c>
      <c r="C630" s="35">
        <v>122.58</v>
      </c>
      <c r="D630" s="35">
        <v>297.94099999999997</v>
      </c>
      <c r="E630" s="41">
        <v>729.47900000000004</v>
      </c>
      <c r="F630" s="35">
        <v>1150</v>
      </c>
      <c r="G630" s="35">
        <v>100</v>
      </c>
      <c r="H630" s="43">
        <v>600</v>
      </c>
      <c r="I630" s="35">
        <v>695</v>
      </c>
      <c r="J630" s="35">
        <v>50</v>
      </c>
      <c r="K630" s="36"/>
      <c r="L630" s="36"/>
      <c r="M630" s="36"/>
      <c r="N630" s="36"/>
      <c r="O630" s="36"/>
      <c r="P630" s="36"/>
      <c r="Q630" s="36"/>
      <c r="R630" s="36"/>
      <c r="S630" s="36"/>
      <c r="T630" s="36"/>
    </row>
    <row r="631" spans="1:20" ht="15.75">
      <c r="A631" s="13">
        <v>60722</v>
      </c>
      <c r="B631" s="44">
        <f t="shared" si="0"/>
        <v>31</v>
      </c>
      <c r="C631" s="35">
        <v>122.58</v>
      </c>
      <c r="D631" s="35">
        <v>297.94099999999997</v>
      </c>
      <c r="E631" s="41">
        <v>729.47900000000004</v>
      </c>
      <c r="F631" s="35">
        <v>1150</v>
      </c>
      <c r="G631" s="35">
        <v>100</v>
      </c>
      <c r="H631" s="43">
        <v>600</v>
      </c>
      <c r="I631" s="35">
        <v>695</v>
      </c>
      <c r="J631" s="35">
        <v>50</v>
      </c>
      <c r="K631" s="36"/>
      <c r="L631" s="36"/>
      <c r="M631" s="36"/>
      <c r="N631" s="36"/>
      <c r="O631" s="36"/>
      <c r="P631" s="36"/>
      <c r="Q631" s="36"/>
      <c r="R631" s="36"/>
      <c r="S631" s="36"/>
      <c r="T631" s="36"/>
    </row>
    <row r="632" spans="1:20" ht="15.75">
      <c r="A632" s="13">
        <v>60752</v>
      </c>
      <c r="B632" s="44">
        <f t="shared" si="0"/>
        <v>30</v>
      </c>
      <c r="C632" s="35">
        <v>141.29300000000001</v>
      </c>
      <c r="D632" s="35">
        <v>267.99299999999999</v>
      </c>
      <c r="E632" s="41">
        <v>829.71400000000006</v>
      </c>
      <c r="F632" s="35">
        <v>1239</v>
      </c>
      <c r="G632" s="35">
        <v>100</v>
      </c>
      <c r="H632" s="43">
        <v>600</v>
      </c>
      <c r="I632" s="35">
        <v>695</v>
      </c>
      <c r="J632" s="35">
        <v>50</v>
      </c>
      <c r="K632" s="36"/>
      <c r="L632" s="36"/>
      <c r="M632" s="36"/>
      <c r="N632" s="36"/>
      <c r="O632" s="36"/>
      <c r="P632" s="36"/>
      <c r="Q632" s="36"/>
      <c r="R632" s="36"/>
      <c r="S632" s="36"/>
      <c r="T632" s="36"/>
    </row>
    <row r="633" spans="1:20" ht="15.75">
      <c r="A633" s="13">
        <v>60783</v>
      </c>
      <c r="B633" s="44">
        <f t="shared" si="0"/>
        <v>31</v>
      </c>
      <c r="C633" s="35">
        <v>194.20500000000001</v>
      </c>
      <c r="D633" s="35">
        <v>267.46600000000001</v>
      </c>
      <c r="E633" s="41">
        <v>812.32899999999995</v>
      </c>
      <c r="F633" s="35">
        <v>1274</v>
      </c>
      <c r="G633" s="35">
        <v>75</v>
      </c>
      <c r="H633" s="43">
        <v>600</v>
      </c>
      <c r="I633" s="35">
        <v>695</v>
      </c>
      <c r="J633" s="35">
        <v>50</v>
      </c>
      <c r="K633" s="36"/>
      <c r="L633" s="36"/>
      <c r="M633" s="36"/>
      <c r="N633" s="36"/>
      <c r="O633" s="36"/>
      <c r="P633" s="36"/>
      <c r="Q633" s="36"/>
      <c r="R633" s="36"/>
      <c r="S633" s="36"/>
      <c r="T633" s="36"/>
    </row>
    <row r="634" spans="1:20" ht="15.75">
      <c r="A634" s="13">
        <v>60813</v>
      </c>
      <c r="B634" s="44">
        <f t="shared" si="0"/>
        <v>30</v>
      </c>
      <c r="C634" s="35">
        <v>194.20500000000001</v>
      </c>
      <c r="D634" s="35">
        <v>267.46600000000001</v>
      </c>
      <c r="E634" s="41">
        <v>812.32899999999995</v>
      </c>
      <c r="F634" s="35">
        <v>1274</v>
      </c>
      <c r="G634" s="35">
        <v>50</v>
      </c>
      <c r="H634" s="43">
        <v>600</v>
      </c>
      <c r="I634" s="35">
        <v>695</v>
      </c>
      <c r="J634" s="35">
        <v>50</v>
      </c>
      <c r="K634" s="36"/>
      <c r="L634" s="36"/>
      <c r="M634" s="36"/>
      <c r="N634" s="36"/>
      <c r="O634" s="36"/>
      <c r="P634" s="36"/>
      <c r="Q634" s="36"/>
      <c r="R634" s="36"/>
      <c r="S634" s="36"/>
      <c r="T634" s="36"/>
    </row>
    <row r="635" spans="1:20" ht="15.75">
      <c r="A635" s="13">
        <v>60844</v>
      </c>
      <c r="B635" s="44">
        <f t="shared" si="0"/>
        <v>31</v>
      </c>
      <c r="C635" s="35">
        <v>194.20500000000001</v>
      </c>
      <c r="D635" s="35">
        <v>267.46600000000001</v>
      </c>
      <c r="E635" s="41">
        <v>812.32899999999995</v>
      </c>
      <c r="F635" s="35">
        <v>1274</v>
      </c>
      <c r="G635" s="35">
        <v>50</v>
      </c>
      <c r="H635" s="43">
        <v>600</v>
      </c>
      <c r="I635" s="35">
        <v>695</v>
      </c>
      <c r="J635" s="35">
        <v>0</v>
      </c>
      <c r="K635" s="36"/>
      <c r="L635" s="36"/>
      <c r="M635" s="36"/>
      <c r="N635" s="36"/>
      <c r="O635" s="36"/>
      <c r="P635" s="36"/>
      <c r="Q635" s="36"/>
      <c r="R635" s="36"/>
      <c r="S635" s="36"/>
      <c r="T635" s="36"/>
    </row>
    <row r="636" spans="1:20" ht="15.75">
      <c r="A636" s="13">
        <v>60875</v>
      </c>
      <c r="B636" s="44">
        <f t="shared" si="0"/>
        <v>31</v>
      </c>
      <c r="C636" s="35">
        <v>194.20500000000001</v>
      </c>
      <c r="D636" s="35">
        <v>267.46600000000001</v>
      </c>
      <c r="E636" s="41">
        <v>812.32899999999995</v>
      </c>
      <c r="F636" s="35">
        <v>1274</v>
      </c>
      <c r="G636" s="35">
        <v>50</v>
      </c>
      <c r="H636" s="43">
        <v>600</v>
      </c>
      <c r="I636" s="35">
        <v>695</v>
      </c>
      <c r="J636" s="35">
        <v>0</v>
      </c>
      <c r="K636" s="36"/>
      <c r="L636" s="36"/>
      <c r="M636" s="36"/>
      <c r="N636" s="36"/>
      <c r="O636" s="36"/>
      <c r="P636" s="36"/>
      <c r="Q636" s="36"/>
      <c r="R636" s="36"/>
      <c r="S636" s="36"/>
      <c r="T636" s="36"/>
    </row>
    <row r="637" spans="1:20" ht="15.75">
      <c r="A637" s="13">
        <v>60905</v>
      </c>
      <c r="B637" s="44">
        <f t="shared" si="0"/>
        <v>30</v>
      </c>
      <c r="C637" s="35">
        <v>194.20500000000001</v>
      </c>
      <c r="D637" s="35">
        <v>267.46600000000001</v>
      </c>
      <c r="E637" s="41">
        <v>812.32899999999995</v>
      </c>
      <c r="F637" s="35">
        <v>1274</v>
      </c>
      <c r="G637" s="35">
        <v>50</v>
      </c>
      <c r="H637" s="43">
        <v>600</v>
      </c>
      <c r="I637" s="35">
        <v>695</v>
      </c>
      <c r="J637" s="35">
        <v>0</v>
      </c>
      <c r="K637" s="36"/>
      <c r="L637" s="36"/>
      <c r="M637" s="36"/>
      <c r="N637" s="36"/>
      <c r="O637" s="36"/>
      <c r="P637" s="36"/>
      <c r="Q637" s="36"/>
      <c r="R637" s="36"/>
      <c r="S637" s="36"/>
      <c r="T637" s="36"/>
    </row>
    <row r="638" spans="1:20" ht="15.75">
      <c r="A638" s="13">
        <v>60936</v>
      </c>
      <c r="B638" s="44">
        <f t="shared" si="0"/>
        <v>31</v>
      </c>
      <c r="C638" s="35">
        <v>131.881</v>
      </c>
      <c r="D638" s="35">
        <v>277.16699999999997</v>
      </c>
      <c r="E638" s="41">
        <v>829.952</v>
      </c>
      <c r="F638" s="35">
        <v>1239</v>
      </c>
      <c r="G638" s="35">
        <v>75</v>
      </c>
      <c r="H638" s="43">
        <v>600</v>
      </c>
      <c r="I638" s="35">
        <v>695</v>
      </c>
      <c r="J638" s="35">
        <v>0</v>
      </c>
      <c r="K638" s="36"/>
      <c r="L638" s="36"/>
      <c r="M638" s="36"/>
      <c r="N638" s="36"/>
      <c r="O638" s="36"/>
      <c r="P638" s="36"/>
      <c r="Q638" s="36"/>
      <c r="R638" s="36"/>
      <c r="S638" s="36"/>
      <c r="T638" s="36"/>
    </row>
    <row r="639" spans="1:20" ht="15.75">
      <c r="A639" s="13">
        <v>60966</v>
      </c>
      <c r="B639" s="44">
        <f t="shared" si="0"/>
        <v>30</v>
      </c>
      <c r="C639" s="35">
        <v>122.58</v>
      </c>
      <c r="D639" s="35">
        <v>297.94099999999997</v>
      </c>
      <c r="E639" s="41">
        <v>729.47900000000004</v>
      </c>
      <c r="F639" s="35">
        <v>1150</v>
      </c>
      <c r="G639" s="35">
        <v>100</v>
      </c>
      <c r="H639" s="43">
        <v>600</v>
      </c>
      <c r="I639" s="35">
        <v>695</v>
      </c>
      <c r="J639" s="35">
        <v>50</v>
      </c>
      <c r="K639" s="36"/>
      <c r="L639" s="36"/>
      <c r="M639" s="36"/>
      <c r="N639" s="36"/>
      <c r="O639" s="36"/>
      <c r="P639" s="36"/>
      <c r="Q639" s="36"/>
      <c r="R639" s="36"/>
      <c r="S639" s="36"/>
      <c r="T639" s="36"/>
    </row>
    <row r="640" spans="1:20" ht="15.75">
      <c r="A640" s="13">
        <v>60997</v>
      </c>
      <c r="B640" s="44">
        <f t="shared" si="0"/>
        <v>31</v>
      </c>
      <c r="C640" s="35">
        <v>122.58</v>
      </c>
      <c r="D640" s="35">
        <v>297.94099999999997</v>
      </c>
      <c r="E640" s="41">
        <v>729.47900000000004</v>
      </c>
      <c r="F640" s="35">
        <v>1150</v>
      </c>
      <c r="G640" s="35">
        <v>100</v>
      </c>
      <c r="H640" s="43">
        <v>600</v>
      </c>
      <c r="I640" s="35">
        <v>695</v>
      </c>
      <c r="J640" s="35">
        <v>50</v>
      </c>
      <c r="K640" s="36"/>
      <c r="L640" s="36"/>
      <c r="M640" s="36"/>
      <c r="N640" s="36"/>
      <c r="O640" s="36"/>
      <c r="P640" s="36"/>
      <c r="Q640" s="36"/>
      <c r="R640" s="36"/>
      <c r="S640" s="36"/>
      <c r="T640" s="36"/>
    </row>
    <row r="641" spans="1:20" ht="15.75">
      <c r="A641" s="13">
        <v>61028</v>
      </c>
      <c r="B641" s="44">
        <f t="shared" si="0"/>
        <v>31</v>
      </c>
      <c r="C641" s="35">
        <v>122.58</v>
      </c>
      <c r="D641" s="35">
        <v>297.94099999999997</v>
      </c>
      <c r="E641" s="41">
        <v>729.47900000000004</v>
      </c>
      <c r="F641" s="35">
        <v>1150</v>
      </c>
      <c r="G641" s="35">
        <v>100</v>
      </c>
      <c r="H641" s="43">
        <v>600</v>
      </c>
      <c r="I641" s="35">
        <v>695</v>
      </c>
      <c r="J641" s="35">
        <v>50</v>
      </c>
      <c r="K641" s="36"/>
      <c r="L641" s="36"/>
      <c r="M641" s="36"/>
      <c r="N641" s="36"/>
      <c r="O641" s="36"/>
      <c r="P641" s="36"/>
      <c r="Q641" s="36"/>
      <c r="R641" s="36"/>
      <c r="S641" s="36"/>
      <c r="T641" s="36"/>
    </row>
    <row r="642" spans="1:20" ht="15.75">
      <c r="A642" s="13">
        <v>61056</v>
      </c>
      <c r="B642" s="44">
        <f t="shared" si="0"/>
        <v>28</v>
      </c>
      <c r="C642" s="35">
        <v>122.58</v>
      </c>
      <c r="D642" s="35">
        <v>297.94099999999997</v>
      </c>
      <c r="E642" s="41">
        <v>729.47900000000004</v>
      </c>
      <c r="F642" s="35">
        <v>1150</v>
      </c>
      <c r="G642" s="35">
        <v>100</v>
      </c>
      <c r="H642" s="43">
        <v>600</v>
      </c>
      <c r="I642" s="35">
        <v>695</v>
      </c>
      <c r="J642" s="35">
        <v>50</v>
      </c>
      <c r="K642" s="36"/>
      <c r="L642" s="36"/>
      <c r="M642" s="36"/>
      <c r="N642" s="36"/>
      <c r="O642" s="36"/>
      <c r="P642" s="36"/>
      <c r="Q642" s="36"/>
      <c r="R642" s="36"/>
      <c r="S642" s="36"/>
      <c r="T642" s="36"/>
    </row>
    <row r="643" spans="1:20" ht="15.75">
      <c r="A643" s="13">
        <v>61087</v>
      </c>
      <c r="B643" s="44">
        <f t="shared" si="0"/>
        <v>31</v>
      </c>
      <c r="C643" s="35">
        <v>122.58</v>
      </c>
      <c r="D643" s="35">
        <v>297.94099999999997</v>
      </c>
      <c r="E643" s="41">
        <v>729.47900000000004</v>
      </c>
      <c r="F643" s="35">
        <v>1150</v>
      </c>
      <c r="G643" s="35">
        <v>100</v>
      </c>
      <c r="H643" s="43">
        <v>600</v>
      </c>
      <c r="I643" s="35">
        <v>695</v>
      </c>
      <c r="J643" s="35">
        <v>50</v>
      </c>
      <c r="K643" s="36"/>
      <c r="L643" s="36"/>
      <c r="M643" s="36"/>
      <c r="N643" s="36"/>
      <c r="O643" s="36"/>
      <c r="P643" s="36"/>
      <c r="Q643" s="36"/>
      <c r="R643" s="36"/>
      <c r="S643" s="36"/>
      <c r="T643" s="36"/>
    </row>
    <row r="644" spans="1:20" ht="15.75">
      <c r="A644" s="13">
        <v>61117</v>
      </c>
      <c r="B644" s="44">
        <f t="shared" si="0"/>
        <v>30</v>
      </c>
      <c r="C644" s="35">
        <v>141.29300000000001</v>
      </c>
      <c r="D644" s="35">
        <v>267.99299999999999</v>
      </c>
      <c r="E644" s="41">
        <v>829.71400000000006</v>
      </c>
      <c r="F644" s="35">
        <v>1239</v>
      </c>
      <c r="G644" s="35">
        <v>100</v>
      </c>
      <c r="H644" s="43">
        <v>600</v>
      </c>
      <c r="I644" s="35">
        <v>695</v>
      </c>
      <c r="J644" s="35">
        <v>50</v>
      </c>
      <c r="K644" s="36"/>
      <c r="L644" s="36"/>
      <c r="M644" s="36"/>
      <c r="N644" s="36"/>
      <c r="O644" s="36"/>
      <c r="P644" s="36"/>
      <c r="Q644" s="36"/>
      <c r="R644" s="36"/>
      <c r="S644" s="36"/>
      <c r="T644" s="36"/>
    </row>
    <row r="645" spans="1:20" ht="15.75">
      <c r="A645" s="13">
        <v>61148</v>
      </c>
      <c r="B645" s="44">
        <f t="shared" ref="B645:B708" si="1">EOMONTH(A645,0)-EOMONTH(A645,-1)</f>
        <v>31</v>
      </c>
      <c r="C645" s="35">
        <v>194.20500000000001</v>
      </c>
      <c r="D645" s="35">
        <v>267.46600000000001</v>
      </c>
      <c r="E645" s="41">
        <v>812.32899999999995</v>
      </c>
      <c r="F645" s="35">
        <v>1274</v>
      </c>
      <c r="G645" s="35">
        <v>75</v>
      </c>
      <c r="H645" s="43">
        <v>600</v>
      </c>
      <c r="I645" s="35">
        <v>695</v>
      </c>
      <c r="J645" s="35">
        <v>50</v>
      </c>
      <c r="K645" s="36"/>
      <c r="L645" s="36"/>
      <c r="M645" s="36"/>
      <c r="N645" s="36"/>
      <c r="O645" s="36"/>
      <c r="P645" s="36"/>
      <c r="Q645" s="36"/>
      <c r="R645" s="36"/>
      <c r="S645" s="36"/>
      <c r="T645" s="36"/>
    </row>
    <row r="646" spans="1:20" ht="15.75">
      <c r="A646" s="13">
        <v>61178</v>
      </c>
      <c r="B646" s="44">
        <f t="shared" si="1"/>
        <v>30</v>
      </c>
      <c r="C646" s="35">
        <v>194.20500000000001</v>
      </c>
      <c r="D646" s="35">
        <v>267.46600000000001</v>
      </c>
      <c r="E646" s="41">
        <v>812.32899999999995</v>
      </c>
      <c r="F646" s="35">
        <v>1274</v>
      </c>
      <c r="G646" s="35">
        <v>50</v>
      </c>
      <c r="H646" s="43">
        <v>600</v>
      </c>
      <c r="I646" s="35">
        <v>695</v>
      </c>
      <c r="J646" s="35">
        <v>50</v>
      </c>
      <c r="K646" s="36"/>
      <c r="L646" s="36"/>
      <c r="M646" s="36"/>
      <c r="N646" s="36"/>
      <c r="O646" s="36"/>
      <c r="P646" s="36"/>
      <c r="Q646" s="36"/>
      <c r="R646" s="36"/>
      <c r="S646" s="36"/>
      <c r="T646" s="36"/>
    </row>
    <row r="647" spans="1:20" ht="15.75">
      <c r="A647" s="13">
        <v>61209</v>
      </c>
      <c r="B647" s="44">
        <f t="shared" si="1"/>
        <v>31</v>
      </c>
      <c r="C647" s="35">
        <v>194.20500000000001</v>
      </c>
      <c r="D647" s="35">
        <v>267.46600000000001</v>
      </c>
      <c r="E647" s="41">
        <v>812.32899999999995</v>
      </c>
      <c r="F647" s="35">
        <v>1274</v>
      </c>
      <c r="G647" s="35">
        <v>50</v>
      </c>
      <c r="H647" s="43">
        <v>600</v>
      </c>
      <c r="I647" s="35">
        <v>695</v>
      </c>
      <c r="J647" s="35">
        <v>0</v>
      </c>
      <c r="K647" s="36"/>
      <c r="L647" s="36"/>
      <c r="M647" s="36"/>
      <c r="N647" s="36"/>
      <c r="O647" s="36"/>
      <c r="P647" s="36"/>
      <c r="Q647" s="36"/>
      <c r="R647" s="36"/>
      <c r="S647" s="36"/>
      <c r="T647" s="36"/>
    </row>
    <row r="648" spans="1:20" ht="15.75">
      <c r="A648" s="13">
        <v>61240</v>
      </c>
      <c r="B648" s="44">
        <f t="shared" si="1"/>
        <v>31</v>
      </c>
      <c r="C648" s="35">
        <v>194.20500000000001</v>
      </c>
      <c r="D648" s="35">
        <v>267.46600000000001</v>
      </c>
      <c r="E648" s="41">
        <v>812.32899999999995</v>
      </c>
      <c r="F648" s="35">
        <v>1274</v>
      </c>
      <c r="G648" s="35">
        <v>50</v>
      </c>
      <c r="H648" s="43">
        <v>600</v>
      </c>
      <c r="I648" s="35">
        <v>695</v>
      </c>
      <c r="J648" s="35">
        <v>0</v>
      </c>
      <c r="K648" s="36"/>
      <c r="L648" s="36"/>
      <c r="M648" s="36"/>
      <c r="N648" s="36"/>
      <c r="O648" s="36"/>
      <c r="P648" s="36"/>
      <c r="Q648" s="36"/>
      <c r="R648" s="36"/>
      <c r="S648" s="36"/>
      <c r="T648" s="36"/>
    </row>
    <row r="649" spans="1:20" ht="15.75">
      <c r="A649" s="13">
        <v>61270</v>
      </c>
      <c r="B649" s="44">
        <f t="shared" si="1"/>
        <v>30</v>
      </c>
      <c r="C649" s="35">
        <v>194.20500000000001</v>
      </c>
      <c r="D649" s="35">
        <v>267.46600000000001</v>
      </c>
      <c r="E649" s="41">
        <v>812.32899999999995</v>
      </c>
      <c r="F649" s="35">
        <v>1274</v>
      </c>
      <c r="G649" s="35">
        <v>50</v>
      </c>
      <c r="H649" s="43">
        <v>600</v>
      </c>
      <c r="I649" s="35">
        <v>695</v>
      </c>
      <c r="J649" s="35">
        <v>0</v>
      </c>
      <c r="K649" s="36"/>
      <c r="L649" s="36"/>
      <c r="M649" s="36"/>
      <c r="N649" s="36"/>
      <c r="O649" s="36"/>
      <c r="P649" s="36"/>
      <c r="Q649" s="36"/>
      <c r="R649" s="36"/>
      <c r="S649" s="36"/>
      <c r="T649" s="36"/>
    </row>
    <row r="650" spans="1:20" ht="15.75">
      <c r="A650" s="13">
        <v>61301</v>
      </c>
      <c r="B650" s="44">
        <f t="shared" si="1"/>
        <v>31</v>
      </c>
      <c r="C650" s="35">
        <v>131.881</v>
      </c>
      <c r="D650" s="35">
        <v>277.16699999999997</v>
      </c>
      <c r="E650" s="41">
        <v>829.952</v>
      </c>
      <c r="F650" s="35">
        <v>1239</v>
      </c>
      <c r="G650" s="35">
        <v>75</v>
      </c>
      <c r="H650" s="43">
        <v>600</v>
      </c>
      <c r="I650" s="35">
        <v>695</v>
      </c>
      <c r="J650" s="35">
        <v>0</v>
      </c>
      <c r="K650" s="36"/>
      <c r="L650" s="36"/>
      <c r="M650" s="36"/>
      <c r="N650" s="36"/>
      <c r="O650" s="36"/>
      <c r="P650" s="36"/>
      <c r="Q650" s="36"/>
      <c r="R650" s="36"/>
      <c r="S650" s="36"/>
      <c r="T650" s="36"/>
    </row>
    <row r="651" spans="1:20" ht="15.75">
      <c r="A651" s="13">
        <v>61331</v>
      </c>
      <c r="B651" s="44">
        <f t="shared" si="1"/>
        <v>30</v>
      </c>
      <c r="C651" s="35">
        <v>122.58</v>
      </c>
      <c r="D651" s="35">
        <v>297.94099999999997</v>
      </c>
      <c r="E651" s="41">
        <v>729.47900000000004</v>
      </c>
      <c r="F651" s="35">
        <v>1150</v>
      </c>
      <c r="G651" s="35">
        <v>100</v>
      </c>
      <c r="H651" s="43">
        <v>600</v>
      </c>
      <c r="I651" s="35">
        <v>695</v>
      </c>
      <c r="J651" s="35">
        <v>50</v>
      </c>
      <c r="K651" s="36"/>
      <c r="L651" s="36"/>
      <c r="M651" s="36"/>
      <c r="N651" s="36"/>
      <c r="O651" s="36"/>
      <c r="P651" s="36"/>
      <c r="Q651" s="36"/>
      <c r="R651" s="36"/>
      <c r="S651" s="36"/>
      <c r="T651" s="36"/>
    </row>
    <row r="652" spans="1:20" ht="15.75">
      <c r="A652" s="13">
        <v>61362</v>
      </c>
      <c r="B652" s="44">
        <f t="shared" si="1"/>
        <v>31</v>
      </c>
      <c r="C652" s="35">
        <v>122.58</v>
      </c>
      <c r="D652" s="35">
        <v>297.94099999999997</v>
      </c>
      <c r="E652" s="41">
        <v>729.47900000000004</v>
      </c>
      <c r="F652" s="35">
        <v>1150</v>
      </c>
      <c r="G652" s="35">
        <v>100</v>
      </c>
      <c r="H652" s="43">
        <v>600</v>
      </c>
      <c r="I652" s="35">
        <v>695</v>
      </c>
      <c r="J652" s="35">
        <v>50</v>
      </c>
      <c r="K652" s="36"/>
      <c r="L652" s="36"/>
      <c r="M652" s="36"/>
      <c r="N652" s="36"/>
      <c r="O652" s="36"/>
      <c r="P652" s="36"/>
      <c r="Q652" s="36"/>
      <c r="R652" s="36"/>
      <c r="S652" s="36"/>
      <c r="T652" s="36"/>
    </row>
    <row r="653" spans="1:20" ht="15.75">
      <c r="A653" s="13">
        <v>61393</v>
      </c>
      <c r="B653" s="44">
        <f t="shared" si="1"/>
        <v>31</v>
      </c>
      <c r="C653" s="35">
        <v>122.58</v>
      </c>
      <c r="D653" s="35">
        <v>297.94099999999997</v>
      </c>
      <c r="E653" s="41">
        <v>729.47900000000004</v>
      </c>
      <c r="F653" s="35">
        <v>1150</v>
      </c>
      <c r="G653" s="35">
        <v>100</v>
      </c>
      <c r="H653" s="43">
        <v>600</v>
      </c>
      <c r="I653" s="35">
        <v>695</v>
      </c>
      <c r="J653" s="35">
        <v>50</v>
      </c>
      <c r="K653" s="36"/>
      <c r="L653" s="36"/>
      <c r="M653" s="36"/>
      <c r="N653" s="36"/>
      <c r="O653" s="36"/>
      <c r="P653" s="36"/>
      <c r="Q653" s="36"/>
      <c r="R653" s="36"/>
      <c r="S653" s="36"/>
      <c r="T653" s="36"/>
    </row>
    <row r="654" spans="1:20" ht="15.75">
      <c r="A654" s="13">
        <v>61422</v>
      </c>
      <c r="B654" s="44">
        <f t="shared" si="1"/>
        <v>29</v>
      </c>
      <c r="C654" s="35">
        <v>122.58</v>
      </c>
      <c r="D654" s="35">
        <v>297.94099999999997</v>
      </c>
      <c r="E654" s="41">
        <v>729.47900000000004</v>
      </c>
      <c r="F654" s="35">
        <v>1150</v>
      </c>
      <c r="G654" s="35">
        <v>100</v>
      </c>
      <c r="H654" s="43">
        <v>600</v>
      </c>
      <c r="I654" s="35">
        <v>695</v>
      </c>
      <c r="J654" s="35">
        <v>50</v>
      </c>
      <c r="K654" s="36"/>
      <c r="L654" s="36"/>
      <c r="M654" s="36"/>
      <c r="N654" s="36"/>
      <c r="O654" s="36"/>
      <c r="P654" s="36"/>
      <c r="Q654" s="36"/>
      <c r="R654" s="36"/>
      <c r="S654" s="36"/>
      <c r="T654" s="36"/>
    </row>
    <row r="655" spans="1:20" ht="15.75">
      <c r="A655" s="13">
        <v>61453</v>
      </c>
      <c r="B655" s="44">
        <f t="shared" si="1"/>
        <v>31</v>
      </c>
      <c r="C655" s="35">
        <v>122.58</v>
      </c>
      <c r="D655" s="35">
        <v>297.94099999999997</v>
      </c>
      <c r="E655" s="41">
        <v>729.47900000000004</v>
      </c>
      <c r="F655" s="35">
        <v>1150</v>
      </c>
      <c r="G655" s="35">
        <v>100</v>
      </c>
      <c r="H655" s="43">
        <v>600</v>
      </c>
      <c r="I655" s="35">
        <v>695</v>
      </c>
      <c r="J655" s="35">
        <v>50</v>
      </c>
      <c r="K655" s="36"/>
      <c r="L655" s="36"/>
      <c r="M655" s="36"/>
      <c r="N655" s="36"/>
      <c r="O655" s="36"/>
      <c r="P655" s="36"/>
      <c r="Q655" s="36"/>
      <c r="R655" s="36"/>
      <c r="S655" s="36"/>
      <c r="T655" s="36"/>
    </row>
    <row r="656" spans="1:20" ht="15.75">
      <c r="A656" s="13">
        <v>61483</v>
      </c>
      <c r="B656" s="44">
        <f t="shared" si="1"/>
        <v>30</v>
      </c>
      <c r="C656" s="35">
        <v>141.29300000000001</v>
      </c>
      <c r="D656" s="35">
        <v>267.99299999999999</v>
      </c>
      <c r="E656" s="41">
        <v>829.71400000000006</v>
      </c>
      <c r="F656" s="35">
        <v>1239</v>
      </c>
      <c r="G656" s="35">
        <v>100</v>
      </c>
      <c r="H656" s="43">
        <v>600</v>
      </c>
      <c r="I656" s="35">
        <v>695</v>
      </c>
      <c r="J656" s="35">
        <v>50</v>
      </c>
      <c r="K656" s="36"/>
      <c r="L656" s="36"/>
      <c r="M656" s="36"/>
      <c r="N656" s="36"/>
      <c r="O656" s="36"/>
      <c r="P656" s="36"/>
      <c r="Q656" s="36"/>
      <c r="R656" s="36"/>
      <c r="S656" s="36"/>
      <c r="T656" s="36"/>
    </row>
    <row r="657" spans="1:20" ht="15.75">
      <c r="A657" s="13">
        <v>61514</v>
      </c>
      <c r="B657" s="44">
        <f t="shared" si="1"/>
        <v>31</v>
      </c>
      <c r="C657" s="35">
        <v>194.20500000000001</v>
      </c>
      <c r="D657" s="35">
        <v>267.46600000000001</v>
      </c>
      <c r="E657" s="41">
        <v>812.32899999999995</v>
      </c>
      <c r="F657" s="35">
        <v>1274</v>
      </c>
      <c r="G657" s="35">
        <v>75</v>
      </c>
      <c r="H657" s="43">
        <v>600</v>
      </c>
      <c r="I657" s="35">
        <v>695</v>
      </c>
      <c r="J657" s="35">
        <v>50</v>
      </c>
      <c r="K657" s="36"/>
      <c r="L657" s="36"/>
      <c r="M657" s="36"/>
      <c r="N657" s="36"/>
      <c r="O657" s="36"/>
      <c r="P657" s="36"/>
      <c r="Q657" s="36"/>
      <c r="R657" s="36"/>
      <c r="S657" s="36"/>
      <c r="T657" s="36"/>
    </row>
    <row r="658" spans="1:20" ht="15.75">
      <c r="A658" s="13">
        <v>61544</v>
      </c>
      <c r="B658" s="44">
        <f t="shared" si="1"/>
        <v>30</v>
      </c>
      <c r="C658" s="35">
        <v>194.20500000000001</v>
      </c>
      <c r="D658" s="35">
        <v>267.46600000000001</v>
      </c>
      <c r="E658" s="41">
        <v>812.32899999999995</v>
      </c>
      <c r="F658" s="35">
        <v>1274</v>
      </c>
      <c r="G658" s="35">
        <v>50</v>
      </c>
      <c r="H658" s="43">
        <v>600</v>
      </c>
      <c r="I658" s="35">
        <v>695</v>
      </c>
      <c r="J658" s="35">
        <v>50</v>
      </c>
      <c r="K658" s="36"/>
      <c r="L658" s="36"/>
      <c r="M658" s="36"/>
      <c r="N658" s="36"/>
      <c r="O658" s="36"/>
      <c r="P658" s="36"/>
      <c r="Q658" s="36"/>
      <c r="R658" s="36"/>
      <c r="S658" s="36"/>
      <c r="T658" s="36"/>
    </row>
    <row r="659" spans="1:20" ht="15.75">
      <c r="A659" s="13">
        <v>61575</v>
      </c>
      <c r="B659" s="44">
        <f t="shared" si="1"/>
        <v>31</v>
      </c>
      <c r="C659" s="35">
        <v>194.20500000000001</v>
      </c>
      <c r="D659" s="35">
        <v>267.46600000000001</v>
      </c>
      <c r="E659" s="41">
        <v>812.32899999999995</v>
      </c>
      <c r="F659" s="35">
        <v>1274</v>
      </c>
      <c r="G659" s="35">
        <v>50</v>
      </c>
      <c r="H659" s="43">
        <v>600</v>
      </c>
      <c r="I659" s="35">
        <v>695</v>
      </c>
      <c r="J659" s="35">
        <v>0</v>
      </c>
      <c r="K659" s="36"/>
      <c r="L659" s="36"/>
      <c r="M659" s="36"/>
      <c r="N659" s="36"/>
      <c r="O659" s="36"/>
      <c r="P659" s="36"/>
      <c r="Q659" s="36"/>
      <c r="R659" s="36"/>
      <c r="S659" s="36"/>
      <c r="T659" s="36"/>
    </row>
    <row r="660" spans="1:20" ht="15.75">
      <c r="A660" s="13">
        <v>61606</v>
      </c>
      <c r="B660" s="44">
        <f t="shared" si="1"/>
        <v>31</v>
      </c>
      <c r="C660" s="35">
        <v>194.20500000000001</v>
      </c>
      <c r="D660" s="35">
        <v>267.46600000000001</v>
      </c>
      <c r="E660" s="41">
        <v>812.32899999999995</v>
      </c>
      <c r="F660" s="35">
        <v>1274</v>
      </c>
      <c r="G660" s="35">
        <v>50</v>
      </c>
      <c r="H660" s="43">
        <v>600</v>
      </c>
      <c r="I660" s="35">
        <v>695</v>
      </c>
      <c r="J660" s="35">
        <v>0</v>
      </c>
      <c r="K660" s="36"/>
      <c r="L660" s="36"/>
      <c r="M660" s="36"/>
      <c r="N660" s="36"/>
      <c r="O660" s="36"/>
      <c r="P660" s="36"/>
      <c r="Q660" s="36"/>
      <c r="R660" s="36"/>
      <c r="S660" s="36"/>
      <c r="T660" s="36"/>
    </row>
    <row r="661" spans="1:20" ht="15.75">
      <c r="A661" s="13">
        <v>61636</v>
      </c>
      <c r="B661" s="44">
        <f t="shared" si="1"/>
        <v>30</v>
      </c>
      <c r="C661" s="35">
        <v>194.20500000000001</v>
      </c>
      <c r="D661" s="35">
        <v>267.46600000000001</v>
      </c>
      <c r="E661" s="41">
        <v>812.32899999999995</v>
      </c>
      <c r="F661" s="35">
        <v>1274</v>
      </c>
      <c r="G661" s="35">
        <v>50</v>
      </c>
      <c r="H661" s="43">
        <v>600</v>
      </c>
      <c r="I661" s="35">
        <v>695</v>
      </c>
      <c r="J661" s="35">
        <v>0</v>
      </c>
      <c r="K661" s="36"/>
      <c r="L661" s="36"/>
      <c r="M661" s="36"/>
      <c r="N661" s="36"/>
      <c r="O661" s="36"/>
      <c r="P661" s="36"/>
      <c r="Q661" s="36"/>
      <c r="R661" s="36"/>
      <c r="S661" s="36"/>
      <c r="T661" s="36"/>
    </row>
    <row r="662" spans="1:20" ht="15.75">
      <c r="A662" s="13">
        <v>61667</v>
      </c>
      <c r="B662" s="44">
        <f t="shared" si="1"/>
        <v>31</v>
      </c>
      <c r="C662" s="35">
        <v>131.881</v>
      </c>
      <c r="D662" s="35">
        <v>277.16699999999997</v>
      </c>
      <c r="E662" s="41">
        <v>829.952</v>
      </c>
      <c r="F662" s="35">
        <v>1239</v>
      </c>
      <c r="G662" s="35">
        <v>75</v>
      </c>
      <c r="H662" s="43">
        <v>600</v>
      </c>
      <c r="I662" s="35">
        <v>695</v>
      </c>
      <c r="J662" s="35">
        <v>0</v>
      </c>
      <c r="K662" s="36"/>
      <c r="L662" s="36"/>
      <c r="M662" s="36"/>
      <c r="N662" s="36"/>
      <c r="O662" s="36"/>
      <c r="P662" s="36"/>
      <c r="Q662" s="36"/>
      <c r="R662" s="36"/>
      <c r="S662" s="36"/>
      <c r="T662" s="36"/>
    </row>
    <row r="663" spans="1:20" ht="15.75">
      <c r="A663" s="13">
        <v>61697</v>
      </c>
      <c r="B663" s="44">
        <f t="shared" si="1"/>
        <v>30</v>
      </c>
      <c r="C663" s="35">
        <v>122.58</v>
      </c>
      <c r="D663" s="35">
        <v>297.94099999999997</v>
      </c>
      <c r="E663" s="41">
        <v>729.47900000000004</v>
      </c>
      <c r="F663" s="35">
        <v>1150</v>
      </c>
      <c r="G663" s="35">
        <v>100</v>
      </c>
      <c r="H663" s="43">
        <v>600</v>
      </c>
      <c r="I663" s="35">
        <v>695</v>
      </c>
      <c r="J663" s="35">
        <v>50</v>
      </c>
      <c r="K663" s="36"/>
      <c r="L663" s="36"/>
      <c r="M663" s="36"/>
      <c r="N663" s="36"/>
      <c r="O663" s="36"/>
      <c r="P663" s="36"/>
      <c r="Q663" s="36"/>
      <c r="R663" s="36"/>
      <c r="S663" s="36"/>
      <c r="T663" s="36"/>
    </row>
    <row r="664" spans="1:20" ht="15.75">
      <c r="A664" s="13">
        <v>61728</v>
      </c>
      <c r="B664" s="44">
        <f t="shared" si="1"/>
        <v>31</v>
      </c>
      <c r="C664" s="35">
        <v>122.58</v>
      </c>
      <c r="D664" s="35">
        <v>297.94099999999997</v>
      </c>
      <c r="E664" s="41">
        <v>729.47900000000004</v>
      </c>
      <c r="F664" s="35">
        <v>1150</v>
      </c>
      <c r="G664" s="35">
        <v>100</v>
      </c>
      <c r="H664" s="43">
        <v>600</v>
      </c>
      <c r="I664" s="35">
        <v>695</v>
      </c>
      <c r="J664" s="35">
        <v>50</v>
      </c>
      <c r="K664" s="36"/>
      <c r="L664" s="36"/>
      <c r="M664" s="36"/>
      <c r="N664" s="36"/>
      <c r="O664" s="36"/>
      <c r="P664" s="36"/>
      <c r="Q664" s="36"/>
      <c r="R664" s="36"/>
      <c r="S664" s="36"/>
      <c r="T664" s="36"/>
    </row>
    <row r="665" spans="1:20" ht="15.75">
      <c r="A665" s="13">
        <v>61759</v>
      </c>
      <c r="B665" s="44">
        <f t="shared" si="1"/>
        <v>31</v>
      </c>
      <c r="C665" s="35">
        <v>122.58</v>
      </c>
      <c r="D665" s="35">
        <v>297.94099999999997</v>
      </c>
      <c r="E665" s="41">
        <v>729.47900000000004</v>
      </c>
      <c r="F665" s="35">
        <v>1150</v>
      </c>
      <c r="G665" s="35">
        <v>100</v>
      </c>
      <c r="H665" s="43">
        <v>600</v>
      </c>
      <c r="I665" s="35">
        <v>695</v>
      </c>
      <c r="J665" s="35">
        <v>50</v>
      </c>
      <c r="K665" s="36"/>
      <c r="L665" s="36"/>
      <c r="M665" s="36"/>
      <c r="N665" s="36"/>
      <c r="O665" s="36"/>
      <c r="P665" s="36"/>
      <c r="Q665" s="36"/>
      <c r="R665" s="36"/>
      <c r="S665" s="36"/>
      <c r="T665" s="36"/>
    </row>
    <row r="666" spans="1:20" ht="15.75">
      <c r="A666" s="13">
        <v>61787</v>
      </c>
      <c r="B666" s="44">
        <f t="shared" si="1"/>
        <v>28</v>
      </c>
      <c r="C666" s="35">
        <v>122.58</v>
      </c>
      <c r="D666" s="35">
        <v>297.94099999999997</v>
      </c>
      <c r="E666" s="41">
        <v>729.47900000000004</v>
      </c>
      <c r="F666" s="35">
        <v>1150</v>
      </c>
      <c r="G666" s="35">
        <v>100</v>
      </c>
      <c r="H666" s="43">
        <v>600</v>
      </c>
      <c r="I666" s="35">
        <v>695</v>
      </c>
      <c r="J666" s="35">
        <v>50</v>
      </c>
      <c r="K666" s="36"/>
      <c r="L666" s="36"/>
      <c r="M666" s="36"/>
      <c r="N666" s="36"/>
      <c r="O666" s="36"/>
      <c r="P666" s="36"/>
      <c r="Q666" s="36"/>
      <c r="R666" s="36"/>
      <c r="S666" s="36"/>
      <c r="T666" s="36"/>
    </row>
    <row r="667" spans="1:20" ht="15.75">
      <c r="A667" s="13">
        <v>61818</v>
      </c>
      <c r="B667" s="44">
        <f t="shared" si="1"/>
        <v>31</v>
      </c>
      <c r="C667" s="35">
        <v>122.58</v>
      </c>
      <c r="D667" s="35">
        <v>297.94099999999997</v>
      </c>
      <c r="E667" s="41">
        <v>729.47900000000004</v>
      </c>
      <c r="F667" s="35">
        <v>1150</v>
      </c>
      <c r="G667" s="35">
        <v>100</v>
      </c>
      <c r="H667" s="43">
        <v>600</v>
      </c>
      <c r="I667" s="35">
        <v>695</v>
      </c>
      <c r="J667" s="35">
        <v>50</v>
      </c>
      <c r="K667" s="36"/>
      <c r="L667" s="36"/>
      <c r="M667" s="36"/>
      <c r="N667" s="36"/>
      <c r="O667" s="36"/>
      <c r="P667" s="36"/>
      <c r="Q667" s="36"/>
      <c r="R667" s="36"/>
      <c r="S667" s="36"/>
      <c r="T667" s="36"/>
    </row>
    <row r="668" spans="1:20" ht="15.75">
      <c r="A668" s="13">
        <v>61848</v>
      </c>
      <c r="B668" s="44">
        <f t="shared" si="1"/>
        <v>30</v>
      </c>
      <c r="C668" s="35">
        <v>141.29300000000001</v>
      </c>
      <c r="D668" s="35">
        <v>267.99299999999999</v>
      </c>
      <c r="E668" s="41">
        <v>829.71400000000006</v>
      </c>
      <c r="F668" s="35">
        <v>1239</v>
      </c>
      <c r="G668" s="35">
        <v>100</v>
      </c>
      <c r="H668" s="43">
        <v>600</v>
      </c>
      <c r="I668" s="35">
        <v>695</v>
      </c>
      <c r="J668" s="35">
        <v>50</v>
      </c>
      <c r="K668" s="36"/>
      <c r="L668" s="36"/>
      <c r="M668" s="36"/>
      <c r="N668" s="36"/>
      <c r="O668" s="36"/>
      <c r="P668" s="36"/>
      <c r="Q668" s="36"/>
      <c r="R668" s="36"/>
      <c r="S668" s="36"/>
      <c r="T668" s="36"/>
    </row>
    <row r="669" spans="1:20" ht="15.75">
      <c r="A669" s="13">
        <v>61879</v>
      </c>
      <c r="B669" s="44">
        <f t="shared" si="1"/>
        <v>31</v>
      </c>
      <c r="C669" s="35">
        <v>194.20500000000001</v>
      </c>
      <c r="D669" s="35">
        <v>267.46600000000001</v>
      </c>
      <c r="E669" s="41">
        <v>812.32899999999995</v>
      </c>
      <c r="F669" s="35">
        <v>1274</v>
      </c>
      <c r="G669" s="35">
        <v>75</v>
      </c>
      <c r="H669" s="43">
        <v>600</v>
      </c>
      <c r="I669" s="35">
        <v>695</v>
      </c>
      <c r="J669" s="35">
        <v>50</v>
      </c>
      <c r="K669" s="36"/>
      <c r="L669" s="36"/>
      <c r="M669" s="36"/>
      <c r="N669" s="36"/>
      <c r="O669" s="36"/>
      <c r="P669" s="36"/>
      <c r="Q669" s="36"/>
      <c r="R669" s="36"/>
      <c r="S669" s="36"/>
      <c r="T669" s="36"/>
    </row>
    <row r="670" spans="1:20" ht="15.75">
      <c r="A670" s="13">
        <v>61909</v>
      </c>
      <c r="B670" s="44">
        <f t="shared" si="1"/>
        <v>30</v>
      </c>
      <c r="C670" s="35">
        <v>194.20500000000001</v>
      </c>
      <c r="D670" s="35">
        <v>267.46600000000001</v>
      </c>
      <c r="E670" s="41">
        <v>812.32899999999995</v>
      </c>
      <c r="F670" s="35">
        <v>1274</v>
      </c>
      <c r="G670" s="35">
        <v>50</v>
      </c>
      <c r="H670" s="43">
        <v>600</v>
      </c>
      <c r="I670" s="35">
        <v>695</v>
      </c>
      <c r="J670" s="35">
        <v>50</v>
      </c>
      <c r="K670" s="36"/>
      <c r="L670" s="36"/>
      <c r="M670" s="36"/>
      <c r="N670" s="36"/>
      <c r="O670" s="36"/>
      <c r="P670" s="36"/>
      <c r="Q670" s="36"/>
      <c r="R670" s="36"/>
      <c r="S670" s="36"/>
      <c r="T670" s="36"/>
    </row>
    <row r="671" spans="1:20" ht="15.75">
      <c r="A671" s="13">
        <v>61940</v>
      </c>
      <c r="B671" s="44">
        <f t="shared" si="1"/>
        <v>31</v>
      </c>
      <c r="C671" s="35">
        <v>194.20500000000001</v>
      </c>
      <c r="D671" s="35">
        <v>267.46600000000001</v>
      </c>
      <c r="E671" s="41">
        <v>812.32899999999995</v>
      </c>
      <c r="F671" s="35">
        <v>1274</v>
      </c>
      <c r="G671" s="35">
        <v>50</v>
      </c>
      <c r="H671" s="43">
        <v>600</v>
      </c>
      <c r="I671" s="35">
        <v>695</v>
      </c>
      <c r="J671" s="35">
        <v>0</v>
      </c>
      <c r="K671" s="36"/>
      <c r="L671" s="36"/>
      <c r="M671" s="36"/>
      <c r="N671" s="36"/>
      <c r="O671" s="36"/>
      <c r="P671" s="36"/>
      <c r="Q671" s="36"/>
      <c r="R671" s="36"/>
      <c r="S671" s="36"/>
      <c r="T671" s="36"/>
    </row>
    <row r="672" spans="1:20" ht="15.75">
      <c r="A672" s="13">
        <v>61971</v>
      </c>
      <c r="B672" s="44">
        <f t="shared" si="1"/>
        <v>31</v>
      </c>
      <c r="C672" s="35">
        <v>194.20500000000001</v>
      </c>
      <c r="D672" s="35">
        <v>267.46600000000001</v>
      </c>
      <c r="E672" s="41">
        <v>812.32899999999995</v>
      </c>
      <c r="F672" s="35">
        <v>1274</v>
      </c>
      <c r="G672" s="35">
        <v>50</v>
      </c>
      <c r="H672" s="43">
        <v>600</v>
      </c>
      <c r="I672" s="35">
        <v>695</v>
      </c>
      <c r="J672" s="35">
        <v>0</v>
      </c>
      <c r="K672" s="36"/>
      <c r="L672" s="36"/>
      <c r="M672" s="36"/>
      <c r="N672" s="36"/>
      <c r="O672" s="36"/>
      <c r="P672" s="36"/>
      <c r="Q672" s="36"/>
      <c r="R672" s="36"/>
      <c r="S672" s="36"/>
      <c r="T672" s="36"/>
    </row>
    <row r="673" spans="1:20" ht="15.75">
      <c r="A673" s="13">
        <v>62001</v>
      </c>
      <c r="B673" s="44">
        <f t="shared" si="1"/>
        <v>30</v>
      </c>
      <c r="C673" s="35">
        <v>194.20500000000001</v>
      </c>
      <c r="D673" s="35">
        <v>267.46600000000001</v>
      </c>
      <c r="E673" s="41">
        <v>812.32899999999995</v>
      </c>
      <c r="F673" s="35">
        <v>1274</v>
      </c>
      <c r="G673" s="35">
        <v>50</v>
      </c>
      <c r="H673" s="43">
        <v>600</v>
      </c>
      <c r="I673" s="35">
        <v>695</v>
      </c>
      <c r="J673" s="35">
        <v>0</v>
      </c>
      <c r="K673" s="36"/>
      <c r="L673" s="36"/>
      <c r="M673" s="36"/>
      <c r="N673" s="36"/>
      <c r="O673" s="36"/>
      <c r="P673" s="36"/>
      <c r="Q673" s="36"/>
      <c r="R673" s="36"/>
      <c r="S673" s="36"/>
      <c r="T673" s="36"/>
    </row>
    <row r="674" spans="1:20" ht="15.75">
      <c r="A674" s="13">
        <v>62032</v>
      </c>
      <c r="B674" s="44">
        <f t="shared" si="1"/>
        <v>31</v>
      </c>
      <c r="C674" s="35">
        <v>131.881</v>
      </c>
      <c r="D674" s="35">
        <v>277.16699999999997</v>
      </c>
      <c r="E674" s="41">
        <v>829.952</v>
      </c>
      <c r="F674" s="35">
        <v>1239</v>
      </c>
      <c r="G674" s="35">
        <v>75</v>
      </c>
      <c r="H674" s="43">
        <v>600</v>
      </c>
      <c r="I674" s="35">
        <v>695</v>
      </c>
      <c r="J674" s="35">
        <v>0</v>
      </c>
      <c r="K674" s="36"/>
      <c r="L674" s="36"/>
      <c r="M674" s="36"/>
      <c r="N674" s="36"/>
      <c r="O674" s="36"/>
      <c r="P674" s="36"/>
      <c r="Q674" s="36"/>
      <c r="R674" s="36"/>
      <c r="S674" s="36"/>
      <c r="T674" s="36"/>
    </row>
    <row r="675" spans="1:20" ht="15.75">
      <c r="A675" s="13">
        <v>62062</v>
      </c>
      <c r="B675" s="44">
        <f t="shared" si="1"/>
        <v>30</v>
      </c>
      <c r="C675" s="35">
        <v>122.58</v>
      </c>
      <c r="D675" s="35">
        <v>297.94099999999997</v>
      </c>
      <c r="E675" s="41">
        <v>729.47900000000004</v>
      </c>
      <c r="F675" s="35">
        <v>1150</v>
      </c>
      <c r="G675" s="35">
        <v>100</v>
      </c>
      <c r="H675" s="43">
        <v>600</v>
      </c>
      <c r="I675" s="35">
        <v>695</v>
      </c>
      <c r="J675" s="35">
        <v>50</v>
      </c>
      <c r="K675" s="36"/>
      <c r="L675" s="36"/>
      <c r="M675" s="36"/>
      <c r="N675" s="36"/>
      <c r="O675" s="36"/>
      <c r="P675" s="36"/>
      <c r="Q675" s="36"/>
      <c r="R675" s="36"/>
      <c r="S675" s="36"/>
      <c r="T675" s="36"/>
    </row>
    <row r="676" spans="1:20" ht="15.75">
      <c r="A676" s="13">
        <v>62093</v>
      </c>
      <c r="B676" s="44">
        <f t="shared" si="1"/>
        <v>31</v>
      </c>
      <c r="C676" s="35">
        <v>122.58</v>
      </c>
      <c r="D676" s="35">
        <v>297.94099999999997</v>
      </c>
      <c r="E676" s="41">
        <v>729.47900000000004</v>
      </c>
      <c r="F676" s="35">
        <v>1150</v>
      </c>
      <c r="G676" s="35">
        <v>100</v>
      </c>
      <c r="H676" s="43">
        <v>600</v>
      </c>
      <c r="I676" s="35">
        <v>695</v>
      </c>
      <c r="J676" s="35">
        <v>50</v>
      </c>
      <c r="K676" s="36"/>
      <c r="L676" s="36"/>
      <c r="M676" s="36"/>
      <c r="N676" s="36"/>
      <c r="O676" s="36"/>
      <c r="P676" s="36"/>
      <c r="Q676" s="36"/>
      <c r="R676" s="36"/>
      <c r="S676" s="36"/>
      <c r="T676" s="36"/>
    </row>
    <row r="677" spans="1:20" ht="15.75">
      <c r="A677" s="13">
        <v>62124</v>
      </c>
      <c r="B677" s="44">
        <f t="shared" si="1"/>
        <v>31</v>
      </c>
      <c r="C677" s="35">
        <v>122.58</v>
      </c>
      <c r="D677" s="35">
        <v>297.94099999999997</v>
      </c>
      <c r="E677" s="41">
        <v>729.47900000000004</v>
      </c>
      <c r="F677" s="35">
        <v>1150</v>
      </c>
      <c r="G677" s="35">
        <v>100</v>
      </c>
      <c r="H677" s="43">
        <v>600</v>
      </c>
      <c r="I677" s="35">
        <v>695</v>
      </c>
      <c r="J677" s="35">
        <v>50</v>
      </c>
      <c r="K677" s="36"/>
      <c r="L677" s="36"/>
      <c r="M677" s="36"/>
      <c r="N677" s="36"/>
      <c r="O677" s="36"/>
      <c r="P677" s="36"/>
      <c r="Q677" s="36"/>
      <c r="R677" s="36"/>
      <c r="S677" s="36"/>
      <c r="T677" s="36"/>
    </row>
    <row r="678" spans="1:20" ht="15.75">
      <c r="A678" s="13">
        <v>62152</v>
      </c>
      <c r="B678" s="44">
        <f t="shared" si="1"/>
        <v>28</v>
      </c>
      <c r="C678" s="35">
        <v>122.58</v>
      </c>
      <c r="D678" s="35">
        <v>297.94099999999997</v>
      </c>
      <c r="E678" s="41">
        <v>729.47900000000004</v>
      </c>
      <c r="F678" s="35">
        <v>1150</v>
      </c>
      <c r="G678" s="35">
        <v>100</v>
      </c>
      <c r="H678" s="43">
        <v>600</v>
      </c>
      <c r="I678" s="35">
        <v>695</v>
      </c>
      <c r="J678" s="35">
        <v>50</v>
      </c>
      <c r="K678" s="36"/>
      <c r="L678" s="36"/>
      <c r="M678" s="36"/>
      <c r="N678" s="36"/>
      <c r="O678" s="36"/>
      <c r="P678" s="36"/>
      <c r="Q678" s="36"/>
      <c r="R678" s="36"/>
      <c r="S678" s="36"/>
      <c r="T678" s="36"/>
    </row>
    <row r="679" spans="1:20" ht="15.75">
      <c r="A679" s="13">
        <v>62183</v>
      </c>
      <c r="B679" s="44">
        <f t="shared" si="1"/>
        <v>31</v>
      </c>
      <c r="C679" s="35">
        <v>122.58</v>
      </c>
      <c r="D679" s="35">
        <v>297.94099999999997</v>
      </c>
      <c r="E679" s="41">
        <v>729.47900000000004</v>
      </c>
      <c r="F679" s="35">
        <v>1150</v>
      </c>
      <c r="G679" s="35">
        <v>100</v>
      </c>
      <c r="H679" s="43">
        <v>600</v>
      </c>
      <c r="I679" s="35">
        <v>695</v>
      </c>
      <c r="J679" s="35">
        <v>50</v>
      </c>
      <c r="K679" s="36"/>
      <c r="L679" s="36"/>
      <c r="M679" s="36"/>
      <c r="N679" s="36"/>
      <c r="O679" s="36"/>
      <c r="P679" s="36"/>
      <c r="Q679" s="36"/>
      <c r="R679" s="36"/>
      <c r="S679" s="36"/>
      <c r="T679" s="36"/>
    </row>
    <row r="680" spans="1:20" ht="15.75">
      <c r="A680" s="13">
        <v>62213</v>
      </c>
      <c r="B680" s="44">
        <f t="shared" si="1"/>
        <v>30</v>
      </c>
      <c r="C680" s="35">
        <v>141.29300000000001</v>
      </c>
      <c r="D680" s="35">
        <v>267.99299999999999</v>
      </c>
      <c r="E680" s="41">
        <v>829.71400000000006</v>
      </c>
      <c r="F680" s="35">
        <v>1239</v>
      </c>
      <c r="G680" s="35">
        <v>100</v>
      </c>
      <c r="H680" s="43">
        <v>600</v>
      </c>
      <c r="I680" s="35">
        <v>695</v>
      </c>
      <c r="J680" s="35">
        <v>50</v>
      </c>
      <c r="K680" s="36"/>
      <c r="L680" s="36"/>
      <c r="M680" s="36"/>
      <c r="N680" s="36"/>
      <c r="O680" s="36"/>
      <c r="P680" s="36"/>
      <c r="Q680" s="36"/>
      <c r="R680" s="36"/>
      <c r="S680" s="36"/>
      <c r="T680" s="36"/>
    </row>
    <row r="681" spans="1:20" ht="15.75">
      <c r="A681" s="13">
        <v>62244</v>
      </c>
      <c r="B681" s="44">
        <f t="shared" si="1"/>
        <v>31</v>
      </c>
      <c r="C681" s="35">
        <v>194.20500000000001</v>
      </c>
      <c r="D681" s="35">
        <v>267.46600000000001</v>
      </c>
      <c r="E681" s="41">
        <v>812.32899999999995</v>
      </c>
      <c r="F681" s="35">
        <v>1274</v>
      </c>
      <c r="G681" s="35">
        <v>75</v>
      </c>
      <c r="H681" s="43">
        <v>600</v>
      </c>
      <c r="I681" s="35">
        <v>695</v>
      </c>
      <c r="J681" s="35">
        <v>50</v>
      </c>
      <c r="K681" s="36"/>
      <c r="L681" s="36"/>
      <c r="M681" s="36"/>
      <c r="N681" s="36"/>
      <c r="O681" s="36"/>
      <c r="P681" s="36"/>
      <c r="Q681" s="36"/>
      <c r="R681" s="36"/>
      <c r="S681" s="36"/>
      <c r="T681" s="36"/>
    </row>
    <row r="682" spans="1:20" ht="15.75">
      <c r="A682" s="13">
        <v>62274</v>
      </c>
      <c r="B682" s="44">
        <f t="shared" si="1"/>
        <v>30</v>
      </c>
      <c r="C682" s="35">
        <v>194.20500000000001</v>
      </c>
      <c r="D682" s="35">
        <v>267.46600000000001</v>
      </c>
      <c r="E682" s="41">
        <v>812.32899999999995</v>
      </c>
      <c r="F682" s="35">
        <v>1274</v>
      </c>
      <c r="G682" s="35">
        <v>50</v>
      </c>
      <c r="H682" s="43">
        <v>600</v>
      </c>
      <c r="I682" s="35">
        <v>695</v>
      </c>
      <c r="J682" s="35">
        <v>50</v>
      </c>
      <c r="K682" s="36"/>
      <c r="L682" s="36"/>
      <c r="M682" s="36"/>
      <c r="N682" s="36"/>
      <c r="O682" s="36"/>
      <c r="P682" s="36"/>
      <c r="Q682" s="36"/>
      <c r="R682" s="36"/>
      <c r="S682" s="36"/>
      <c r="T682" s="36"/>
    </row>
    <row r="683" spans="1:20" ht="15.75">
      <c r="A683" s="13">
        <v>62305</v>
      </c>
      <c r="B683" s="44">
        <f t="shared" si="1"/>
        <v>31</v>
      </c>
      <c r="C683" s="35">
        <v>194.20500000000001</v>
      </c>
      <c r="D683" s="35">
        <v>267.46600000000001</v>
      </c>
      <c r="E683" s="41">
        <v>812.32899999999995</v>
      </c>
      <c r="F683" s="35">
        <v>1274</v>
      </c>
      <c r="G683" s="35">
        <v>50</v>
      </c>
      <c r="H683" s="43">
        <v>600</v>
      </c>
      <c r="I683" s="35">
        <v>695</v>
      </c>
      <c r="J683" s="35">
        <v>0</v>
      </c>
      <c r="K683" s="36"/>
      <c r="L683" s="36"/>
      <c r="M683" s="36"/>
      <c r="N683" s="36"/>
      <c r="O683" s="36"/>
      <c r="P683" s="36"/>
      <c r="Q683" s="36"/>
      <c r="R683" s="36"/>
      <c r="S683" s="36"/>
      <c r="T683" s="36"/>
    </row>
    <row r="684" spans="1:20" ht="15.75">
      <c r="A684" s="13">
        <v>62336</v>
      </c>
      <c r="B684" s="44">
        <f t="shared" si="1"/>
        <v>31</v>
      </c>
      <c r="C684" s="35">
        <v>194.20500000000001</v>
      </c>
      <c r="D684" s="35">
        <v>267.46600000000001</v>
      </c>
      <c r="E684" s="41">
        <v>812.32899999999995</v>
      </c>
      <c r="F684" s="35">
        <v>1274</v>
      </c>
      <c r="G684" s="35">
        <v>50</v>
      </c>
      <c r="H684" s="43">
        <v>600</v>
      </c>
      <c r="I684" s="35">
        <v>695</v>
      </c>
      <c r="J684" s="35">
        <v>0</v>
      </c>
      <c r="K684" s="36"/>
      <c r="L684" s="36"/>
      <c r="M684" s="36"/>
      <c r="N684" s="36"/>
      <c r="O684" s="36"/>
      <c r="P684" s="36"/>
      <c r="Q684" s="36"/>
      <c r="R684" s="36"/>
      <c r="S684" s="36"/>
      <c r="T684" s="36"/>
    </row>
    <row r="685" spans="1:20" ht="15.75">
      <c r="A685" s="13">
        <v>62366</v>
      </c>
      <c r="B685" s="44">
        <f t="shared" si="1"/>
        <v>30</v>
      </c>
      <c r="C685" s="35">
        <v>194.20500000000001</v>
      </c>
      <c r="D685" s="35">
        <v>267.46600000000001</v>
      </c>
      <c r="E685" s="41">
        <v>812.32899999999995</v>
      </c>
      <c r="F685" s="35">
        <v>1274</v>
      </c>
      <c r="G685" s="35">
        <v>50</v>
      </c>
      <c r="H685" s="43">
        <v>600</v>
      </c>
      <c r="I685" s="35">
        <v>695</v>
      </c>
      <c r="J685" s="35">
        <v>0</v>
      </c>
      <c r="K685" s="36"/>
      <c r="L685" s="36"/>
      <c r="M685" s="36"/>
      <c r="N685" s="36"/>
      <c r="O685" s="36"/>
      <c r="P685" s="36"/>
      <c r="Q685" s="36"/>
      <c r="R685" s="36"/>
      <c r="S685" s="36"/>
      <c r="T685" s="36"/>
    </row>
    <row r="686" spans="1:20" ht="15.75">
      <c r="A686" s="13">
        <v>62397</v>
      </c>
      <c r="B686" s="44">
        <f t="shared" si="1"/>
        <v>31</v>
      </c>
      <c r="C686" s="35">
        <v>131.881</v>
      </c>
      <c r="D686" s="35">
        <v>277.16699999999997</v>
      </c>
      <c r="E686" s="41">
        <v>829.952</v>
      </c>
      <c r="F686" s="35">
        <v>1239</v>
      </c>
      <c r="G686" s="35">
        <v>75</v>
      </c>
      <c r="H686" s="43">
        <v>600</v>
      </c>
      <c r="I686" s="35">
        <v>695</v>
      </c>
      <c r="J686" s="35">
        <v>0</v>
      </c>
      <c r="K686" s="36"/>
      <c r="L686" s="36"/>
      <c r="M686" s="36"/>
      <c r="N686" s="36"/>
      <c r="O686" s="36"/>
      <c r="P686" s="36"/>
      <c r="Q686" s="36"/>
      <c r="R686" s="36"/>
      <c r="S686" s="36"/>
      <c r="T686" s="36"/>
    </row>
    <row r="687" spans="1:20" ht="15.75">
      <c r="A687" s="13">
        <v>62427</v>
      </c>
      <c r="B687" s="44">
        <f t="shared" si="1"/>
        <v>30</v>
      </c>
      <c r="C687" s="35">
        <v>122.58</v>
      </c>
      <c r="D687" s="35">
        <v>297.94099999999997</v>
      </c>
      <c r="E687" s="41">
        <v>729.47900000000004</v>
      </c>
      <c r="F687" s="35">
        <v>1150</v>
      </c>
      <c r="G687" s="35">
        <v>100</v>
      </c>
      <c r="H687" s="43">
        <v>600</v>
      </c>
      <c r="I687" s="35">
        <v>695</v>
      </c>
      <c r="J687" s="35">
        <v>50</v>
      </c>
      <c r="K687" s="36"/>
      <c r="L687" s="36"/>
      <c r="M687" s="36"/>
      <c r="N687" s="36"/>
      <c r="O687" s="36"/>
      <c r="P687" s="36"/>
      <c r="Q687" s="36"/>
      <c r="R687" s="36"/>
      <c r="S687" s="36"/>
      <c r="T687" s="36"/>
    </row>
    <row r="688" spans="1:20" ht="15.75">
      <c r="A688" s="13">
        <v>62458</v>
      </c>
      <c r="B688" s="44">
        <f t="shared" si="1"/>
        <v>31</v>
      </c>
      <c r="C688" s="35">
        <v>122.58</v>
      </c>
      <c r="D688" s="35">
        <v>297.94099999999997</v>
      </c>
      <c r="E688" s="41">
        <v>729.47900000000004</v>
      </c>
      <c r="F688" s="35">
        <v>1150</v>
      </c>
      <c r="G688" s="35">
        <v>100</v>
      </c>
      <c r="H688" s="43">
        <v>600</v>
      </c>
      <c r="I688" s="35">
        <v>695</v>
      </c>
      <c r="J688" s="35">
        <v>50</v>
      </c>
      <c r="K688" s="36"/>
      <c r="L688" s="36"/>
      <c r="M688" s="36"/>
      <c r="N688" s="36"/>
      <c r="O688" s="36"/>
      <c r="P688" s="36"/>
      <c r="Q688" s="36"/>
      <c r="R688" s="36"/>
      <c r="S688" s="36"/>
      <c r="T688" s="36"/>
    </row>
    <row r="689" spans="1:20" ht="15.75">
      <c r="A689" s="13">
        <v>62489</v>
      </c>
      <c r="B689" s="44">
        <f t="shared" si="1"/>
        <v>31</v>
      </c>
      <c r="C689" s="35">
        <v>122.58</v>
      </c>
      <c r="D689" s="35">
        <v>297.94099999999997</v>
      </c>
      <c r="E689" s="41">
        <v>729.47900000000004</v>
      </c>
      <c r="F689" s="35">
        <v>1150</v>
      </c>
      <c r="G689" s="35">
        <v>100</v>
      </c>
      <c r="H689" s="43">
        <v>600</v>
      </c>
      <c r="I689" s="35">
        <v>695</v>
      </c>
      <c r="J689" s="35">
        <v>50</v>
      </c>
      <c r="K689" s="36"/>
      <c r="L689" s="36"/>
      <c r="M689" s="36"/>
      <c r="N689" s="36"/>
      <c r="O689" s="36"/>
      <c r="P689" s="36"/>
      <c r="Q689" s="36"/>
      <c r="R689" s="36"/>
      <c r="S689" s="36"/>
      <c r="T689" s="36"/>
    </row>
    <row r="690" spans="1:20" ht="15.75">
      <c r="A690" s="13">
        <v>62517</v>
      </c>
      <c r="B690" s="44">
        <f t="shared" si="1"/>
        <v>28</v>
      </c>
      <c r="C690" s="35">
        <v>122.58</v>
      </c>
      <c r="D690" s="35">
        <v>297.94099999999997</v>
      </c>
      <c r="E690" s="41">
        <v>729.47900000000004</v>
      </c>
      <c r="F690" s="35">
        <v>1150</v>
      </c>
      <c r="G690" s="35">
        <v>100</v>
      </c>
      <c r="H690" s="43">
        <v>600</v>
      </c>
      <c r="I690" s="35">
        <v>695</v>
      </c>
      <c r="J690" s="35">
        <v>50</v>
      </c>
      <c r="K690" s="36"/>
      <c r="L690" s="36"/>
      <c r="M690" s="36"/>
      <c r="N690" s="36"/>
      <c r="O690" s="36"/>
      <c r="P690" s="36"/>
      <c r="Q690" s="36"/>
      <c r="R690" s="36"/>
      <c r="S690" s="36"/>
      <c r="T690" s="36"/>
    </row>
    <row r="691" spans="1:20" ht="15.75">
      <c r="A691" s="13">
        <v>62548</v>
      </c>
      <c r="B691" s="44">
        <f t="shared" si="1"/>
        <v>31</v>
      </c>
      <c r="C691" s="35">
        <v>122.58</v>
      </c>
      <c r="D691" s="35">
        <v>297.94099999999997</v>
      </c>
      <c r="E691" s="41">
        <v>729.47900000000004</v>
      </c>
      <c r="F691" s="35">
        <v>1150</v>
      </c>
      <c r="G691" s="35">
        <v>100</v>
      </c>
      <c r="H691" s="43">
        <v>600</v>
      </c>
      <c r="I691" s="35">
        <v>695</v>
      </c>
      <c r="J691" s="35">
        <v>50</v>
      </c>
      <c r="K691" s="36"/>
      <c r="L691" s="36"/>
      <c r="M691" s="36"/>
      <c r="N691" s="36"/>
      <c r="O691" s="36"/>
      <c r="P691" s="36"/>
      <c r="Q691" s="36"/>
      <c r="R691" s="36"/>
      <c r="S691" s="36"/>
      <c r="T691" s="36"/>
    </row>
    <row r="692" spans="1:20" ht="15.75">
      <c r="A692" s="13">
        <v>62578</v>
      </c>
      <c r="B692" s="44">
        <f t="shared" si="1"/>
        <v>30</v>
      </c>
      <c r="C692" s="35">
        <v>141.29300000000001</v>
      </c>
      <c r="D692" s="35">
        <v>267.99299999999999</v>
      </c>
      <c r="E692" s="41">
        <v>829.71400000000006</v>
      </c>
      <c r="F692" s="35">
        <v>1239</v>
      </c>
      <c r="G692" s="35">
        <v>100</v>
      </c>
      <c r="H692" s="43">
        <v>600</v>
      </c>
      <c r="I692" s="35">
        <v>695</v>
      </c>
      <c r="J692" s="35">
        <v>50</v>
      </c>
      <c r="K692" s="36"/>
      <c r="L692" s="36"/>
      <c r="M692" s="36"/>
      <c r="N692" s="36"/>
      <c r="O692" s="36"/>
      <c r="P692" s="36"/>
      <c r="Q692" s="36"/>
      <c r="R692" s="36"/>
      <c r="S692" s="36"/>
      <c r="T692" s="36"/>
    </row>
    <row r="693" spans="1:20" ht="15.75">
      <c r="A693" s="13">
        <v>62609</v>
      </c>
      <c r="B693" s="44">
        <f t="shared" si="1"/>
        <v>31</v>
      </c>
      <c r="C693" s="35">
        <v>194.20500000000001</v>
      </c>
      <c r="D693" s="35">
        <v>267.46600000000001</v>
      </c>
      <c r="E693" s="41">
        <v>812.32899999999995</v>
      </c>
      <c r="F693" s="35">
        <v>1274</v>
      </c>
      <c r="G693" s="35">
        <v>75</v>
      </c>
      <c r="H693" s="43">
        <v>600</v>
      </c>
      <c r="I693" s="35">
        <v>695</v>
      </c>
      <c r="J693" s="35">
        <v>50</v>
      </c>
      <c r="K693" s="36"/>
      <c r="L693" s="36"/>
      <c r="M693" s="36"/>
      <c r="N693" s="36"/>
      <c r="O693" s="36"/>
      <c r="P693" s="36"/>
      <c r="Q693" s="36"/>
      <c r="R693" s="36"/>
      <c r="S693" s="36"/>
      <c r="T693" s="36"/>
    </row>
    <row r="694" spans="1:20" ht="15.75">
      <c r="A694" s="13">
        <v>62639</v>
      </c>
      <c r="B694" s="44">
        <f t="shared" si="1"/>
        <v>30</v>
      </c>
      <c r="C694" s="35">
        <v>194.20500000000001</v>
      </c>
      <c r="D694" s="35">
        <v>267.46600000000001</v>
      </c>
      <c r="E694" s="41">
        <v>812.32899999999995</v>
      </c>
      <c r="F694" s="35">
        <v>1274</v>
      </c>
      <c r="G694" s="35">
        <v>50</v>
      </c>
      <c r="H694" s="43">
        <v>600</v>
      </c>
      <c r="I694" s="35">
        <v>695</v>
      </c>
      <c r="J694" s="35">
        <v>50</v>
      </c>
      <c r="K694" s="36"/>
      <c r="L694" s="36"/>
      <c r="M694" s="36"/>
      <c r="N694" s="36"/>
      <c r="O694" s="36"/>
      <c r="P694" s="36"/>
      <c r="Q694" s="36"/>
      <c r="R694" s="36"/>
      <c r="S694" s="36"/>
      <c r="T694" s="36"/>
    </row>
    <row r="695" spans="1:20" ht="15.75">
      <c r="A695" s="13">
        <v>62670</v>
      </c>
      <c r="B695" s="44">
        <f t="shared" si="1"/>
        <v>31</v>
      </c>
      <c r="C695" s="35">
        <v>194.20500000000001</v>
      </c>
      <c r="D695" s="35">
        <v>267.46600000000001</v>
      </c>
      <c r="E695" s="41">
        <v>812.32899999999995</v>
      </c>
      <c r="F695" s="35">
        <v>1274</v>
      </c>
      <c r="G695" s="35">
        <v>50</v>
      </c>
      <c r="H695" s="43">
        <v>600</v>
      </c>
      <c r="I695" s="35">
        <v>695</v>
      </c>
      <c r="J695" s="35">
        <v>0</v>
      </c>
      <c r="K695" s="36"/>
      <c r="L695" s="36"/>
      <c r="M695" s="36"/>
      <c r="N695" s="36"/>
      <c r="O695" s="36"/>
      <c r="P695" s="36"/>
      <c r="Q695" s="36"/>
      <c r="R695" s="36"/>
      <c r="S695" s="36"/>
      <c r="T695" s="36"/>
    </row>
    <row r="696" spans="1:20" ht="15.75">
      <c r="A696" s="13">
        <v>62701</v>
      </c>
      <c r="B696" s="44">
        <f t="shared" si="1"/>
        <v>31</v>
      </c>
      <c r="C696" s="35">
        <v>194.20500000000001</v>
      </c>
      <c r="D696" s="35">
        <v>267.46600000000001</v>
      </c>
      <c r="E696" s="41">
        <v>812.32899999999995</v>
      </c>
      <c r="F696" s="35">
        <v>1274</v>
      </c>
      <c r="G696" s="35">
        <v>50</v>
      </c>
      <c r="H696" s="43">
        <v>600</v>
      </c>
      <c r="I696" s="35">
        <v>695</v>
      </c>
      <c r="J696" s="35">
        <v>0</v>
      </c>
      <c r="K696" s="36"/>
      <c r="L696" s="36"/>
      <c r="M696" s="36"/>
      <c r="N696" s="36"/>
      <c r="O696" s="36"/>
      <c r="P696" s="36"/>
      <c r="Q696" s="36"/>
      <c r="R696" s="36"/>
      <c r="S696" s="36"/>
      <c r="T696" s="36"/>
    </row>
    <row r="697" spans="1:20" ht="15.75">
      <c r="A697" s="13">
        <v>62731</v>
      </c>
      <c r="B697" s="44">
        <f t="shared" si="1"/>
        <v>30</v>
      </c>
      <c r="C697" s="35">
        <v>194.20500000000001</v>
      </c>
      <c r="D697" s="35">
        <v>267.46600000000001</v>
      </c>
      <c r="E697" s="41">
        <v>812.32899999999995</v>
      </c>
      <c r="F697" s="35">
        <v>1274</v>
      </c>
      <c r="G697" s="35">
        <v>50</v>
      </c>
      <c r="H697" s="43">
        <v>600</v>
      </c>
      <c r="I697" s="35">
        <v>695</v>
      </c>
      <c r="J697" s="35">
        <v>0</v>
      </c>
      <c r="K697" s="36"/>
      <c r="L697" s="36"/>
      <c r="M697" s="36"/>
      <c r="N697" s="36"/>
      <c r="O697" s="36"/>
      <c r="P697" s="36"/>
      <c r="Q697" s="36"/>
      <c r="R697" s="36"/>
      <c r="S697" s="36"/>
      <c r="T697" s="36"/>
    </row>
    <row r="698" spans="1:20" ht="15.75">
      <c r="A698" s="13">
        <v>62762</v>
      </c>
      <c r="B698" s="44">
        <f t="shared" si="1"/>
        <v>31</v>
      </c>
      <c r="C698" s="35">
        <v>131.881</v>
      </c>
      <c r="D698" s="35">
        <v>277.16699999999997</v>
      </c>
      <c r="E698" s="41">
        <v>829.952</v>
      </c>
      <c r="F698" s="35">
        <v>1239</v>
      </c>
      <c r="G698" s="35">
        <v>75</v>
      </c>
      <c r="H698" s="43">
        <v>600</v>
      </c>
      <c r="I698" s="35">
        <v>695</v>
      </c>
      <c r="J698" s="35">
        <v>0</v>
      </c>
      <c r="K698" s="36"/>
      <c r="L698" s="36"/>
      <c r="M698" s="36"/>
      <c r="N698" s="36"/>
      <c r="O698" s="36"/>
      <c r="P698" s="36"/>
      <c r="Q698" s="36"/>
      <c r="R698" s="36"/>
      <c r="S698" s="36"/>
      <c r="T698" s="36"/>
    </row>
    <row r="699" spans="1:20" ht="15.75">
      <c r="A699" s="13">
        <v>62792</v>
      </c>
      <c r="B699" s="44">
        <f t="shared" si="1"/>
        <v>30</v>
      </c>
      <c r="C699" s="35">
        <v>122.58</v>
      </c>
      <c r="D699" s="35">
        <v>297.94099999999997</v>
      </c>
      <c r="E699" s="41">
        <v>729.47900000000004</v>
      </c>
      <c r="F699" s="35">
        <v>1150</v>
      </c>
      <c r="G699" s="35">
        <v>100</v>
      </c>
      <c r="H699" s="43">
        <v>600</v>
      </c>
      <c r="I699" s="35">
        <v>695</v>
      </c>
      <c r="J699" s="35">
        <v>50</v>
      </c>
      <c r="K699" s="36"/>
      <c r="L699" s="36"/>
      <c r="M699" s="36"/>
      <c r="N699" s="36"/>
      <c r="O699" s="36"/>
      <c r="P699" s="36"/>
      <c r="Q699" s="36"/>
      <c r="R699" s="36"/>
      <c r="S699" s="36"/>
      <c r="T699" s="36"/>
    </row>
    <row r="700" spans="1:20" ht="15.75">
      <c r="A700" s="13">
        <v>62823</v>
      </c>
      <c r="B700" s="44">
        <f t="shared" si="1"/>
        <v>31</v>
      </c>
      <c r="C700" s="35">
        <v>122.58</v>
      </c>
      <c r="D700" s="35">
        <v>297.94099999999997</v>
      </c>
      <c r="E700" s="41">
        <v>729.47900000000004</v>
      </c>
      <c r="F700" s="35">
        <v>1150</v>
      </c>
      <c r="G700" s="35">
        <v>100</v>
      </c>
      <c r="H700" s="43">
        <v>600</v>
      </c>
      <c r="I700" s="35">
        <v>695</v>
      </c>
      <c r="J700" s="35">
        <v>50</v>
      </c>
      <c r="K700" s="36"/>
      <c r="L700" s="36"/>
      <c r="M700" s="36"/>
      <c r="N700" s="36"/>
      <c r="O700" s="36"/>
      <c r="P700" s="36"/>
      <c r="Q700" s="36"/>
      <c r="R700" s="36"/>
      <c r="S700" s="36"/>
      <c r="T700" s="36"/>
    </row>
    <row r="701" spans="1:20" ht="15.75">
      <c r="A701" s="13">
        <v>62854</v>
      </c>
      <c r="B701" s="44">
        <f t="shared" si="1"/>
        <v>31</v>
      </c>
      <c r="C701" s="35">
        <v>122.58</v>
      </c>
      <c r="D701" s="35">
        <v>297.94099999999997</v>
      </c>
      <c r="E701" s="41">
        <v>729.47900000000004</v>
      </c>
      <c r="F701" s="35">
        <v>1150</v>
      </c>
      <c r="G701" s="35">
        <v>100</v>
      </c>
      <c r="H701" s="43">
        <v>600</v>
      </c>
      <c r="I701" s="35">
        <v>695</v>
      </c>
      <c r="J701" s="35">
        <v>50</v>
      </c>
      <c r="K701" s="36"/>
      <c r="L701" s="36"/>
      <c r="M701" s="36"/>
      <c r="N701" s="36"/>
      <c r="O701" s="36"/>
      <c r="P701" s="36"/>
      <c r="Q701" s="36"/>
      <c r="R701" s="36"/>
      <c r="S701" s="36"/>
      <c r="T701" s="36"/>
    </row>
    <row r="702" spans="1:20" ht="15.75">
      <c r="A702" s="13">
        <v>62883</v>
      </c>
      <c r="B702" s="44">
        <f t="shared" si="1"/>
        <v>29</v>
      </c>
      <c r="C702" s="35">
        <v>122.58</v>
      </c>
      <c r="D702" s="35">
        <v>297.94099999999997</v>
      </c>
      <c r="E702" s="41">
        <v>729.47900000000004</v>
      </c>
      <c r="F702" s="35">
        <v>1150</v>
      </c>
      <c r="G702" s="35">
        <v>100</v>
      </c>
      <c r="H702" s="43">
        <v>600</v>
      </c>
      <c r="I702" s="35">
        <v>695</v>
      </c>
      <c r="J702" s="35">
        <v>50</v>
      </c>
      <c r="K702" s="36"/>
      <c r="L702" s="36"/>
      <c r="M702" s="36"/>
      <c r="N702" s="36"/>
      <c r="O702" s="36"/>
      <c r="P702" s="36"/>
      <c r="Q702" s="36"/>
      <c r="R702" s="36"/>
      <c r="S702" s="36"/>
      <c r="T702" s="36"/>
    </row>
    <row r="703" spans="1:20" ht="15.75">
      <c r="A703" s="13">
        <v>62914</v>
      </c>
      <c r="B703" s="44">
        <f t="shared" si="1"/>
        <v>31</v>
      </c>
      <c r="C703" s="35">
        <v>122.58</v>
      </c>
      <c r="D703" s="35">
        <v>297.94099999999997</v>
      </c>
      <c r="E703" s="41">
        <v>729.47900000000004</v>
      </c>
      <c r="F703" s="35">
        <v>1150</v>
      </c>
      <c r="G703" s="35">
        <v>100</v>
      </c>
      <c r="H703" s="43">
        <v>600</v>
      </c>
      <c r="I703" s="35">
        <v>695</v>
      </c>
      <c r="J703" s="35">
        <v>50</v>
      </c>
      <c r="K703" s="36"/>
      <c r="L703" s="36"/>
      <c r="M703" s="36"/>
      <c r="N703" s="36"/>
      <c r="O703" s="36"/>
      <c r="P703" s="36"/>
      <c r="Q703" s="36"/>
      <c r="R703" s="36"/>
      <c r="S703" s="36"/>
      <c r="T703" s="36"/>
    </row>
    <row r="704" spans="1:20" ht="15.75">
      <c r="A704" s="13">
        <v>62944</v>
      </c>
      <c r="B704" s="44">
        <f t="shared" si="1"/>
        <v>30</v>
      </c>
      <c r="C704" s="35">
        <v>141.29300000000001</v>
      </c>
      <c r="D704" s="35">
        <v>267.99299999999999</v>
      </c>
      <c r="E704" s="41">
        <v>829.71400000000006</v>
      </c>
      <c r="F704" s="35">
        <v>1239</v>
      </c>
      <c r="G704" s="35">
        <v>100</v>
      </c>
      <c r="H704" s="43">
        <v>600</v>
      </c>
      <c r="I704" s="35">
        <v>695</v>
      </c>
      <c r="J704" s="35">
        <v>50</v>
      </c>
      <c r="K704" s="36"/>
      <c r="L704" s="36"/>
      <c r="M704" s="36"/>
      <c r="N704" s="36"/>
      <c r="O704" s="36"/>
      <c r="P704" s="36"/>
      <c r="Q704" s="36"/>
      <c r="R704" s="36"/>
      <c r="S704" s="36"/>
      <c r="T704" s="36"/>
    </row>
    <row r="705" spans="1:20" ht="15.75">
      <c r="A705" s="13">
        <v>62975</v>
      </c>
      <c r="B705" s="44">
        <f t="shared" si="1"/>
        <v>31</v>
      </c>
      <c r="C705" s="35">
        <v>194.20500000000001</v>
      </c>
      <c r="D705" s="35">
        <v>267.46600000000001</v>
      </c>
      <c r="E705" s="41">
        <v>812.32899999999995</v>
      </c>
      <c r="F705" s="35">
        <v>1274</v>
      </c>
      <c r="G705" s="35">
        <v>75</v>
      </c>
      <c r="H705" s="43">
        <v>600</v>
      </c>
      <c r="I705" s="35">
        <v>695</v>
      </c>
      <c r="J705" s="35">
        <v>50</v>
      </c>
      <c r="K705" s="36"/>
      <c r="L705" s="36"/>
      <c r="M705" s="36"/>
      <c r="N705" s="36"/>
      <c r="O705" s="36"/>
      <c r="P705" s="36"/>
      <c r="Q705" s="36"/>
      <c r="R705" s="36"/>
      <c r="S705" s="36"/>
      <c r="T705" s="36"/>
    </row>
    <row r="706" spans="1:20" ht="15.75">
      <c r="A706" s="13">
        <v>63005</v>
      </c>
      <c r="B706" s="44">
        <f t="shared" si="1"/>
        <v>30</v>
      </c>
      <c r="C706" s="35">
        <v>194.20500000000001</v>
      </c>
      <c r="D706" s="35">
        <v>267.46600000000001</v>
      </c>
      <c r="E706" s="41">
        <v>812.32899999999995</v>
      </c>
      <c r="F706" s="35">
        <v>1274</v>
      </c>
      <c r="G706" s="35">
        <v>50</v>
      </c>
      <c r="H706" s="43">
        <v>600</v>
      </c>
      <c r="I706" s="35">
        <v>695</v>
      </c>
      <c r="J706" s="35">
        <v>50</v>
      </c>
      <c r="K706" s="36"/>
      <c r="L706" s="36"/>
      <c r="M706" s="36"/>
      <c r="N706" s="36"/>
      <c r="O706" s="36"/>
      <c r="P706" s="36"/>
      <c r="Q706" s="36"/>
      <c r="R706" s="36"/>
      <c r="S706" s="36"/>
      <c r="T706" s="36"/>
    </row>
    <row r="707" spans="1:20" ht="15.75">
      <c r="A707" s="13">
        <v>63036</v>
      </c>
      <c r="B707" s="44">
        <f t="shared" si="1"/>
        <v>31</v>
      </c>
      <c r="C707" s="35">
        <v>194.20500000000001</v>
      </c>
      <c r="D707" s="35">
        <v>267.46600000000001</v>
      </c>
      <c r="E707" s="41">
        <v>812.32899999999995</v>
      </c>
      <c r="F707" s="35">
        <v>1274</v>
      </c>
      <c r="G707" s="35">
        <v>50</v>
      </c>
      <c r="H707" s="43">
        <v>600</v>
      </c>
      <c r="I707" s="35">
        <v>695</v>
      </c>
      <c r="J707" s="35">
        <v>0</v>
      </c>
      <c r="K707" s="36"/>
      <c r="L707" s="36"/>
      <c r="M707" s="36"/>
      <c r="N707" s="36"/>
      <c r="O707" s="36"/>
      <c r="P707" s="36"/>
      <c r="Q707" s="36"/>
      <c r="R707" s="36"/>
      <c r="S707" s="36"/>
      <c r="T707" s="36"/>
    </row>
    <row r="708" spans="1:20" ht="15.75">
      <c r="A708" s="13">
        <v>63067</v>
      </c>
      <c r="B708" s="44">
        <f t="shared" si="1"/>
        <v>31</v>
      </c>
      <c r="C708" s="35">
        <v>194.20500000000001</v>
      </c>
      <c r="D708" s="35">
        <v>267.46600000000001</v>
      </c>
      <c r="E708" s="41">
        <v>812.32899999999995</v>
      </c>
      <c r="F708" s="35">
        <v>1274</v>
      </c>
      <c r="G708" s="35">
        <v>50</v>
      </c>
      <c r="H708" s="43">
        <v>600</v>
      </c>
      <c r="I708" s="35">
        <v>695</v>
      </c>
      <c r="J708" s="35">
        <v>0</v>
      </c>
      <c r="K708" s="36"/>
      <c r="L708" s="36"/>
      <c r="M708" s="36"/>
      <c r="N708" s="36"/>
      <c r="O708" s="36"/>
      <c r="P708" s="36"/>
      <c r="Q708" s="36"/>
      <c r="R708" s="36"/>
      <c r="S708" s="36"/>
      <c r="T708" s="36"/>
    </row>
    <row r="709" spans="1:20" ht="15.75">
      <c r="A709" s="13">
        <v>63097</v>
      </c>
      <c r="B709" s="44">
        <f t="shared" ref="B709:B772" si="2">EOMONTH(A709,0)-EOMONTH(A709,-1)</f>
        <v>30</v>
      </c>
      <c r="C709" s="35">
        <v>194.20500000000001</v>
      </c>
      <c r="D709" s="35">
        <v>267.46600000000001</v>
      </c>
      <c r="E709" s="41">
        <v>812.32899999999995</v>
      </c>
      <c r="F709" s="35">
        <v>1274</v>
      </c>
      <c r="G709" s="35">
        <v>50</v>
      </c>
      <c r="H709" s="43">
        <v>600</v>
      </c>
      <c r="I709" s="35">
        <v>695</v>
      </c>
      <c r="J709" s="35">
        <v>0</v>
      </c>
      <c r="K709" s="36"/>
      <c r="L709" s="36"/>
      <c r="M709" s="36"/>
      <c r="N709" s="36"/>
      <c r="O709" s="36"/>
      <c r="P709" s="36"/>
      <c r="Q709" s="36"/>
      <c r="R709" s="36"/>
      <c r="S709" s="36"/>
      <c r="T709" s="36"/>
    </row>
    <row r="710" spans="1:20" ht="15.75">
      <c r="A710" s="13">
        <v>63128</v>
      </c>
      <c r="B710" s="44">
        <f t="shared" si="2"/>
        <v>31</v>
      </c>
      <c r="C710" s="35">
        <v>131.881</v>
      </c>
      <c r="D710" s="35">
        <v>277.16699999999997</v>
      </c>
      <c r="E710" s="41">
        <v>829.952</v>
      </c>
      <c r="F710" s="35">
        <v>1239</v>
      </c>
      <c r="G710" s="35">
        <v>75</v>
      </c>
      <c r="H710" s="43">
        <v>600</v>
      </c>
      <c r="I710" s="35">
        <v>695</v>
      </c>
      <c r="J710" s="35">
        <v>0</v>
      </c>
      <c r="K710" s="36"/>
      <c r="L710" s="36"/>
      <c r="M710" s="36"/>
      <c r="N710" s="36"/>
      <c r="O710" s="36"/>
      <c r="P710" s="36"/>
      <c r="Q710" s="36"/>
      <c r="R710" s="36"/>
      <c r="S710" s="36"/>
      <c r="T710" s="36"/>
    </row>
    <row r="711" spans="1:20" ht="15.75">
      <c r="A711" s="13">
        <v>63158</v>
      </c>
      <c r="B711" s="44">
        <f t="shared" si="2"/>
        <v>30</v>
      </c>
      <c r="C711" s="35">
        <v>122.58</v>
      </c>
      <c r="D711" s="35">
        <v>297.94099999999997</v>
      </c>
      <c r="E711" s="41">
        <v>729.47900000000004</v>
      </c>
      <c r="F711" s="35">
        <v>1150</v>
      </c>
      <c r="G711" s="35">
        <v>100</v>
      </c>
      <c r="H711" s="43">
        <v>600</v>
      </c>
      <c r="I711" s="35">
        <v>695</v>
      </c>
      <c r="J711" s="35">
        <v>50</v>
      </c>
      <c r="K711" s="36"/>
      <c r="L711" s="36"/>
      <c r="M711" s="36"/>
      <c r="N711" s="36"/>
      <c r="O711" s="36"/>
      <c r="P711" s="36"/>
      <c r="Q711" s="36"/>
      <c r="R711" s="36"/>
      <c r="S711" s="36"/>
      <c r="T711" s="36"/>
    </row>
    <row r="712" spans="1:20" ht="15.75">
      <c r="A712" s="13">
        <v>63189</v>
      </c>
      <c r="B712" s="44">
        <f t="shared" si="2"/>
        <v>31</v>
      </c>
      <c r="C712" s="35">
        <v>122.58</v>
      </c>
      <c r="D712" s="35">
        <v>297.94099999999997</v>
      </c>
      <c r="E712" s="41">
        <v>729.47900000000004</v>
      </c>
      <c r="F712" s="35">
        <v>1150</v>
      </c>
      <c r="G712" s="35">
        <v>100</v>
      </c>
      <c r="H712" s="43">
        <v>600</v>
      </c>
      <c r="I712" s="35">
        <v>695</v>
      </c>
      <c r="J712" s="35">
        <v>50</v>
      </c>
      <c r="K712" s="36"/>
      <c r="L712" s="36"/>
      <c r="M712" s="36"/>
      <c r="N712" s="36"/>
      <c r="O712" s="36"/>
      <c r="P712" s="36"/>
      <c r="Q712" s="36"/>
      <c r="R712" s="36"/>
      <c r="S712" s="36"/>
      <c r="T712" s="36"/>
    </row>
    <row r="713" spans="1:20" ht="15.75">
      <c r="A713" s="13">
        <v>63220</v>
      </c>
      <c r="B713" s="44">
        <f t="shared" si="2"/>
        <v>31</v>
      </c>
      <c r="C713" s="35">
        <v>122.58</v>
      </c>
      <c r="D713" s="35">
        <v>297.94099999999997</v>
      </c>
      <c r="E713" s="41">
        <v>729.47900000000004</v>
      </c>
      <c r="F713" s="35">
        <v>1150</v>
      </c>
      <c r="G713" s="35">
        <v>100</v>
      </c>
      <c r="H713" s="43">
        <v>600</v>
      </c>
      <c r="I713" s="35">
        <v>695</v>
      </c>
      <c r="J713" s="35">
        <v>50</v>
      </c>
      <c r="K713" s="36"/>
      <c r="L713" s="36"/>
      <c r="M713" s="36"/>
      <c r="N713" s="36"/>
      <c r="O713" s="36"/>
      <c r="P713" s="36"/>
      <c r="Q713" s="36"/>
      <c r="R713" s="36"/>
      <c r="S713" s="36"/>
      <c r="T713" s="36"/>
    </row>
    <row r="714" spans="1:20" ht="15.75">
      <c r="A714" s="13">
        <v>63248</v>
      </c>
      <c r="B714" s="44">
        <f t="shared" si="2"/>
        <v>28</v>
      </c>
      <c r="C714" s="35">
        <v>122.58</v>
      </c>
      <c r="D714" s="35">
        <v>297.94099999999997</v>
      </c>
      <c r="E714" s="41">
        <v>729.47900000000004</v>
      </c>
      <c r="F714" s="35">
        <v>1150</v>
      </c>
      <c r="G714" s="35">
        <v>100</v>
      </c>
      <c r="H714" s="43">
        <v>600</v>
      </c>
      <c r="I714" s="35">
        <v>695</v>
      </c>
      <c r="J714" s="35">
        <v>50</v>
      </c>
      <c r="K714" s="36"/>
      <c r="L714" s="36"/>
      <c r="M714" s="36"/>
      <c r="N714" s="36"/>
      <c r="O714" s="36"/>
      <c r="P714" s="36"/>
      <c r="Q714" s="36"/>
      <c r="R714" s="36"/>
      <c r="S714" s="36"/>
      <c r="T714" s="36"/>
    </row>
    <row r="715" spans="1:20" ht="15.75">
      <c r="A715" s="13">
        <v>63279</v>
      </c>
      <c r="B715" s="44">
        <f t="shared" si="2"/>
        <v>31</v>
      </c>
      <c r="C715" s="35">
        <v>122.58</v>
      </c>
      <c r="D715" s="35">
        <v>297.94099999999997</v>
      </c>
      <c r="E715" s="41">
        <v>729.47900000000004</v>
      </c>
      <c r="F715" s="35">
        <v>1150</v>
      </c>
      <c r="G715" s="35">
        <v>100</v>
      </c>
      <c r="H715" s="43">
        <v>600</v>
      </c>
      <c r="I715" s="35">
        <v>695</v>
      </c>
      <c r="J715" s="35">
        <v>50</v>
      </c>
      <c r="K715" s="36"/>
      <c r="L715" s="36"/>
      <c r="M715" s="36"/>
      <c r="N715" s="36"/>
      <c r="O715" s="36"/>
      <c r="P715" s="36"/>
      <c r="Q715" s="36"/>
      <c r="R715" s="36"/>
      <c r="S715" s="36"/>
      <c r="T715" s="36"/>
    </row>
    <row r="716" spans="1:20" ht="15.75">
      <c r="A716" s="13">
        <v>63309</v>
      </c>
      <c r="B716" s="44">
        <f t="shared" si="2"/>
        <v>30</v>
      </c>
      <c r="C716" s="35">
        <v>141.29300000000001</v>
      </c>
      <c r="D716" s="35">
        <v>267.99299999999999</v>
      </c>
      <c r="E716" s="41">
        <v>829.71400000000006</v>
      </c>
      <c r="F716" s="35">
        <v>1239</v>
      </c>
      <c r="G716" s="35">
        <v>100</v>
      </c>
      <c r="H716" s="43">
        <v>600</v>
      </c>
      <c r="I716" s="35">
        <v>695</v>
      </c>
      <c r="J716" s="35">
        <v>50</v>
      </c>
      <c r="K716" s="36"/>
      <c r="L716" s="36"/>
      <c r="M716" s="36"/>
      <c r="N716" s="36"/>
      <c r="O716" s="36"/>
      <c r="P716" s="36"/>
      <c r="Q716" s="36"/>
      <c r="R716" s="36"/>
      <c r="S716" s="36"/>
      <c r="T716" s="36"/>
    </row>
    <row r="717" spans="1:20" ht="15.75">
      <c r="A717" s="13">
        <v>63340</v>
      </c>
      <c r="B717" s="44">
        <f t="shared" si="2"/>
        <v>31</v>
      </c>
      <c r="C717" s="35">
        <v>194.20500000000001</v>
      </c>
      <c r="D717" s="35">
        <v>267.46600000000001</v>
      </c>
      <c r="E717" s="41">
        <v>812.32899999999995</v>
      </c>
      <c r="F717" s="35">
        <v>1274</v>
      </c>
      <c r="G717" s="35">
        <v>75</v>
      </c>
      <c r="H717" s="43">
        <v>600</v>
      </c>
      <c r="I717" s="35">
        <v>695</v>
      </c>
      <c r="J717" s="35">
        <v>50</v>
      </c>
      <c r="K717" s="36"/>
      <c r="L717" s="36"/>
      <c r="M717" s="36"/>
      <c r="N717" s="36"/>
      <c r="O717" s="36"/>
      <c r="P717" s="36"/>
      <c r="Q717" s="36"/>
      <c r="R717" s="36"/>
      <c r="S717" s="36"/>
      <c r="T717" s="36"/>
    </row>
    <row r="718" spans="1:20" ht="15.75">
      <c r="A718" s="13">
        <v>63370</v>
      </c>
      <c r="B718" s="44">
        <f t="shared" si="2"/>
        <v>30</v>
      </c>
      <c r="C718" s="35">
        <v>194.20500000000001</v>
      </c>
      <c r="D718" s="35">
        <v>267.46600000000001</v>
      </c>
      <c r="E718" s="41">
        <v>812.32899999999995</v>
      </c>
      <c r="F718" s="35">
        <v>1274</v>
      </c>
      <c r="G718" s="35">
        <v>50</v>
      </c>
      <c r="H718" s="43">
        <v>600</v>
      </c>
      <c r="I718" s="35">
        <v>695</v>
      </c>
      <c r="J718" s="35">
        <v>50</v>
      </c>
      <c r="K718" s="36"/>
      <c r="L718" s="36"/>
      <c r="M718" s="36"/>
      <c r="N718" s="36"/>
      <c r="O718" s="36"/>
      <c r="P718" s="36"/>
      <c r="Q718" s="36"/>
      <c r="R718" s="36"/>
      <c r="S718" s="36"/>
      <c r="T718" s="36"/>
    </row>
    <row r="719" spans="1:20" ht="15.75">
      <c r="A719" s="13">
        <v>63401</v>
      </c>
      <c r="B719" s="44">
        <f t="shared" si="2"/>
        <v>31</v>
      </c>
      <c r="C719" s="35">
        <v>194.20500000000001</v>
      </c>
      <c r="D719" s="35">
        <v>267.46600000000001</v>
      </c>
      <c r="E719" s="41">
        <v>812.32899999999995</v>
      </c>
      <c r="F719" s="35">
        <v>1274</v>
      </c>
      <c r="G719" s="35">
        <v>50</v>
      </c>
      <c r="H719" s="43">
        <v>600</v>
      </c>
      <c r="I719" s="35">
        <v>695</v>
      </c>
      <c r="J719" s="35">
        <v>0</v>
      </c>
      <c r="K719" s="36"/>
      <c r="L719" s="36"/>
      <c r="M719" s="36"/>
      <c r="N719" s="36"/>
      <c r="O719" s="36"/>
      <c r="P719" s="36"/>
      <c r="Q719" s="36"/>
      <c r="R719" s="36"/>
      <c r="S719" s="36"/>
      <c r="T719" s="36"/>
    </row>
    <row r="720" spans="1:20" ht="15.75">
      <c r="A720" s="13">
        <v>63432</v>
      </c>
      <c r="B720" s="44">
        <f t="shared" si="2"/>
        <v>31</v>
      </c>
      <c r="C720" s="35">
        <v>194.20500000000001</v>
      </c>
      <c r="D720" s="35">
        <v>267.46600000000001</v>
      </c>
      <c r="E720" s="41">
        <v>812.32899999999995</v>
      </c>
      <c r="F720" s="35">
        <v>1274</v>
      </c>
      <c r="G720" s="35">
        <v>50</v>
      </c>
      <c r="H720" s="43">
        <v>600</v>
      </c>
      <c r="I720" s="35">
        <v>695</v>
      </c>
      <c r="J720" s="35">
        <v>0</v>
      </c>
      <c r="K720" s="36"/>
      <c r="L720" s="36"/>
      <c r="M720" s="36"/>
      <c r="N720" s="36"/>
      <c r="O720" s="36"/>
      <c r="P720" s="36"/>
      <c r="Q720" s="36"/>
      <c r="R720" s="36"/>
      <c r="S720" s="36"/>
      <c r="T720" s="36"/>
    </row>
    <row r="721" spans="1:20" ht="15.75">
      <c r="A721" s="13">
        <v>63462</v>
      </c>
      <c r="B721" s="44">
        <f t="shared" si="2"/>
        <v>30</v>
      </c>
      <c r="C721" s="35">
        <v>194.20500000000001</v>
      </c>
      <c r="D721" s="35">
        <v>267.46600000000001</v>
      </c>
      <c r="E721" s="41">
        <v>812.32899999999995</v>
      </c>
      <c r="F721" s="35">
        <v>1274</v>
      </c>
      <c r="G721" s="35">
        <v>50</v>
      </c>
      <c r="H721" s="43">
        <v>600</v>
      </c>
      <c r="I721" s="35">
        <v>695</v>
      </c>
      <c r="J721" s="35">
        <v>0</v>
      </c>
      <c r="K721" s="36"/>
      <c r="L721" s="36"/>
      <c r="M721" s="36"/>
      <c r="N721" s="36"/>
      <c r="O721" s="36"/>
      <c r="P721" s="36"/>
      <c r="Q721" s="36"/>
      <c r="R721" s="36"/>
      <c r="S721" s="36"/>
      <c r="T721" s="36"/>
    </row>
    <row r="722" spans="1:20" ht="15.75">
      <c r="A722" s="13">
        <v>63493</v>
      </c>
      <c r="B722" s="44">
        <f t="shared" si="2"/>
        <v>31</v>
      </c>
      <c r="C722" s="35">
        <v>131.881</v>
      </c>
      <c r="D722" s="35">
        <v>277.16699999999997</v>
      </c>
      <c r="E722" s="41">
        <v>829.952</v>
      </c>
      <c r="F722" s="35">
        <v>1239</v>
      </c>
      <c r="G722" s="35">
        <v>75</v>
      </c>
      <c r="H722" s="43">
        <v>600</v>
      </c>
      <c r="I722" s="35">
        <v>695</v>
      </c>
      <c r="J722" s="35">
        <v>0</v>
      </c>
      <c r="K722" s="36"/>
      <c r="L722" s="36"/>
      <c r="M722" s="36"/>
      <c r="N722" s="36"/>
      <c r="O722" s="36"/>
      <c r="P722" s="36"/>
      <c r="Q722" s="36"/>
      <c r="R722" s="36"/>
      <c r="S722" s="36"/>
      <c r="T722" s="36"/>
    </row>
    <row r="723" spans="1:20" ht="15.75">
      <c r="A723" s="13">
        <v>63523</v>
      </c>
      <c r="B723" s="44">
        <f t="shared" si="2"/>
        <v>30</v>
      </c>
      <c r="C723" s="35">
        <v>122.58</v>
      </c>
      <c r="D723" s="35">
        <v>297.94099999999997</v>
      </c>
      <c r="E723" s="41">
        <v>729.47900000000004</v>
      </c>
      <c r="F723" s="35">
        <v>1150</v>
      </c>
      <c r="G723" s="35">
        <v>100</v>
      </c>
      <c r="H723" s="43">
        <v>600</v>
      </c>
      <c r="I723" s="35">
        <v>695</v>
      </c>
      <c r="J723" s="35">
        <v>50</v>
      </c>
      <c r="K723" s="36"/>
      <c r="L723" s="36"/>
      <c r="M723" s="36"/>
      <c r="N723" s="36"/>
      <c r="O723" s="36"/>
      <c r="P723" s="36"/>
      <c r="Q723" s="36"/>
      <c r="R723" s="36"/>
      <c r="S723" s="36"/>
      <c r="T723" s="36"/>
    </row>
    <row r="724" spans="1:20" ht="15.75">
      <c r="A724" s="13">
        <v>63554</v>
      </c>
      <c r="B724" s="44">
        <f t="shared" si="2"/>
        <v>31</v>
      </c>
      <c r="C724" s="35">
        <v>122.58</v>
      </c>
      <c r="D724" s="35">
        <v>297.94099999999997</v>
      </c>
      <c r="E724" s="41">
        <v>729.47900000000004</v>
      </c>
      <c r="F724" s="35">
        <v>1150</v>
      </c>
      <c r="G724" s="35">
        <v>100</v>
      </c>
      <c r="H724" s="43">
        <v>600</v>
      </c>
      <c r="I724" s="35">
        <v>695</v>
      </c>
      <c r="J724" s="35">
        <v>50</v>
      </c>
      <c r="K724" s="36"/>
      <c r="L724" s="36"/>
      <c r="M724" s="36"/>
      <c r="N724" s="36"/>
      <c r="O724" s="36"/>
      <c r="P724" s="36"/>
      <c r="Q724" s="36"/>
      <c r="R724" s="36"/>
      <c r="S724" s="36"/>
      <c r="T724" s="36"/>
    </row>
    <row r="725" spans="1:20" ht="15.75">
      <c r="A725" s="13">
        <v>63585</v>
      </c>
      <c r="B725" s="44">
        <f t="shared" si="2"/>
        <v>31</v>
      </c>
      <c r="C725" s="35">
        <v>122.58</v>
      </c>
      <c r="D725" s="35">
        <v>297.94099999999997</v>
      </c>
      <c r="E725" s="41">
        <v>729.47900000000004</v>
      </c>
      <c r="F725" s="35">
        <v>1150</v>
      </c>
      <c r="G725" s="35">
        <v>100</v>
      </c>
      <c r="H725" s="43">
        <v>600</v>
      </c>
      <c r="I725" s="35">
        <v>695</v>
      </c>
      <c r="J725" s="35">
        <v>50</v>
      </c>
      <c r="K725" s="36"/>
      <c r="L725" s="36"/>
      <c r="M725" s="36"/>
      <c r="N725" s="36"/>
      <c r="O725" s="36"/>
      <c r="P725" s="36"/>
      <c r="Q725" s="36"/>
      <c r="R725" s="36"/>
      <c r="S725" s="36"/>
      <c r="T725" s="36"/>
    </row>
    <row r="726" spans="1:20" ht="15.75">
      <c r="A726" s="13">
        <v>63613</v>
      </c>
      <c r="B726" s="44">
        <f t="shared" si="2"/>
        <v>28</v>
      </c>
      <c r="C726" s="35">
        <v>122.58</v>
      </c>
      <c r="D726" s="35">
        <v>297.94099999999997</v>
      </c>
      <c r="E726" s="41">
        <v>729.47900000000004</v>
      </c>
      <c r="F726" s="35">
        <v>1150</v>
      </c>
      <c r="G726" s="35">
        <v>100</v>
      </c>
      <c r="H726" s="43">
        <v>600</v>
      </c>
      <c r="I726" s="35">
        <v>695</v>
      </c>
      <c r="J726" s="35">
        <v>50</v>
      </c>
      <c r="K726" s="36"/>
      <c r="L726" s="36"/>
      <c r="M726" s="36"/>
      <c r="N726" s="36"/>
      <c r="O726" s="36"/>
      <c r="P726" s="36"/>
      <c r="Q726" s="36"/>
      <c r="R726" s="36"/>
      <c r="S726" s="36"/>
      <c r="T726" s="36"/>
    </row>
    <row r="727" spans="1:20" ht="15.75">
      <c r="A727" s="13">
        <v>63644</v>
      </c>
      <c r="B727" s="44">
        <f t="shared" si="2"/>
        <v>31</v>
      </c>
      <c r="C727" s="35">
        <v>122.58</v>
      </c>
      <c r="D727" s="35">
        <v>297.94099999999997</v>
      </c>
      <c r="E727" s="41">
        <v>729.47900000000004</v>
      </c>
      <c r="F727" s="35">
        <v>1150</v>
      </c>
      <c r="G727" s="35">
        <v>100</v>
      </c>
      <c r="H727" s="43">
        <v>600</v>
      </c>
      <c r="I727" s="35">
        <v>695</v>
      </c>
      <c r="J727" s="35">
        <v>50</v>
      </c>
      <c r="K727" s="36"/>
      <c r="L727" s="36"/>
      <c r="M727" s="36"/>
      <c r="N727" s="36"/>
      <c r="O727" s="36"/>
      <c r="P727" s="36"/>
      <c r="Q727" s="36"/>
      <c r="R727" s="36"/>
      <c r="S727" s="36"/>
      <c r="T727" s="36"/>
    </row>
    <row r="728" spans="1:20" ht="15.75">
      <c r="A728" s="13">
        <v>63674</v>
      </c>
      <c r="B728" s="44">
        <f t="shared" si="2"/>
        <v>30</v>
      </c>
      <c r="C728" s="35">
        <v>141.29300000000001</v>
      </c>
      <c r="D728" s="35">
        <v>267.99299999999999</v>
      </c>
      <c r="E728" s="41">
        <v>829.71400000000006</v>
      </c>
      <c r="F728" s="35">
        <v>1239</v>
      </c>
      <c r="G728" s="35">
        <v>100</v>
      </c>
      <c r="H728" s="43">
        <v>600</v>
      </c>
      <c r="I728" s="35">
        <v>695</v>
      </c>
      <c r="J728" s="35">
        <v>50</v>
      </c>
      <c r="K728" s="36"/>
      <c r="L728" s="36"/>
      <c r="M728" s="36"/>
      <c r="N728" s="36"/>
      <c r="O728" s="36"/>
      <c r="P728" s="36"/>
      <c r="Q728" s="36"/>
      <c r="R728" s="36"/>
      <c r="S728" s="36"/>
      <c r="T728" s="36"/>
    </row>
    <row r="729" spans="1:20" ht="15.75">
      <c r="A729" s="13">
        <v>63705</v>
      </c>
      <c r="B729" s="44">
        <f t="shared" si="2"/>
        <v>31</v>
      </c>
      <c r="C729" s="35">
        <v>194.20500000000001</v>
      </c>
      <c r="D729" s="35">
        <v>267.46600000000001</v>
      </c>
      <c r="E729" s="41">
        <v>812.32899999999995</v>
      </c>
      <c r="F729" s="35">
        <v>1274</v>
      </c>
      <c r="G729" s="35">
        <v>75</v>
      </c>
      <c r="H729" s="43">
        <v>600</v>
      </c>
      <c r="I729" s="35">
        <v>695</v>
      </c>
      <c r="J729" s="35">
        <v>50</v>
      </c>
      <c r="K729" s="36"/>
      <c r="L729" s="36"/>
      <c r="M729" s="36"/>
      <c r="N729" s="36"/>
      <c r="O729" s="36"/>
      <c r="P729" s="36"/>
      <c r="Q729" s="36"/>
      <c r="R729" s="36"/>
      <c r="S729" s="36"/>
      <c r="T729" s="36"/>
    </row>
    <row r="730" spans="1:20" ht="15.75">
      <c r="A730" s="13">
        <v>63735</v>
      </c>
      <c r="B730" s="44">
        <f t="shared" si="2"/>
        <v>30</v>
      </c>
      <c r="C730" s="35">
        <v>194.20500000000001</v>
      </c>
      <c r="D730" s="35">
        <v>267.46600000000001</v>
      </c>
      <c r="E730" s="41">
        <v>812.32899999999995</v>
      </c>
      <c r="F730" s="35">
        <v>1274</v>
      </c>
      <c r="G730" s="35">
        <v>50</v>
      </c>
      <c r="H730" s="43">
        <v>600</v>
      </c>
      <c r="I730" s="35">
        <v>695</v>
      </c>
      <c r="J730" s="35">
        <v>50</v>
      </c>
      <c r="K730" s="36"/>
      <c r="L730" s="36"/>
      <c r="M730" s="36"/>
      <c r="N730" s="36"/>
      <c r="O730" s="36"/>
      <c r="P730" s="36"/>
      <c r="Q730" s="36"/>
      <c r="R730" s="36"/>
      <c r="S730" s="36"/>
      <c r="T730" s="36"/>
    </row>
    <row r="731" spans="1:20" ht="15.75">
      <c r="A731" s="13">
        <v>63766</v>
      </c>
      <c r="B731" s="44">
        <f t="shared" si="2"/>
        <v>31</v>
      </c>
      <c r="C731" s="35">
        <v>194.20500000000001</v>
      </c>
      <c r="D731" s="35">
        <v>267.46600000000001</v>
      </c>
      <c r="E731" s="41">
        <v>812.32899999999995</v>
      </c>
      <c r="F731" s="35">
        <v>1274</v>
      </c>
      <c r="G731" s="35">
        <v>50</v>
      </c>
      <c r="H731" s="43">
        <v>600</v>
      </c>
      <c r="I731" s="35">
        <v>695</v>
      </c>
      <c r="J731" s="35">
        <v>0</v>
      </c>
      <c r="K731" s="36"/>
      <c r="L731" s="36"/>
      <c r="M731" s="36"/>
      <c r="N731" s="36"/>
      <c r="O731" s="36"/>
      <c r="P731" s="36"/>
      <c r="Q731" s="36"/>
      <c r="R731" s="36"/>
      <c r="S731" s="36"/>
      <c r="T731" s="36"/>
    </row>
    <row r="732" spans="1:20" ht="15.75">
      <c r="A732" s="13">
        <v>63797</v>
      </c>
      <c r="B732" s="44">
        <f t="shared" si="2"/>
        <v>31</v>
      </c>
      <c r="C732" s="35">
        <v>194.20500000000001</v>
      </c>
      <c r="D732" s="35">
        <v>267.46600000000001</v>
      </c>
      <c r="E732" s="41">
        <v>812.32899999999995</v>
      </c>
      <c r="F732" s="35">
        <v>1274</v>
      </c>
      <c r="G732" s="35">
        <v>50</v>
      </c>
      <c r="H732" s="43">
        <v>600</v>
      </c>
      <c r="I732" s="35">
        <v>695</v>
      </c>
      <c r="J732" s="35">
        <v>0</v>
      </c>
      <c r="K732" s="36"/>
      <c r="L732" s="36"/>
      <c r="M732" s="36"/>
      <c r="N732" s="36"/>
      <c r="O732" s="36"/>
      <c r="P732" s="36"/>
      <c r="Q732" s="36"/>
      <c r="R732" s="36"/>
      <c r="S732" s="36"/>
      <c r="T732" s="36"/>
    </row>
    <row r="733" spans="1:20" ht="15.75">
      <c r="A733" s="13">
        <v>63827</v>
      </c>
      <c r="B733" s="44">
        <f t="shared" si="2"/>
        <v>30</v>
      </c>
      <c r="C733" s="35">
        <v>194.20500000000001</v>
      </c>
      <c r="D733" s="35">
        <v>267.46600000000001</v>
      </c>
      <c r="E733" s="41">
        <v>812.32899999999995</v>
      </c>
      <c r="F733" s="35">
        <v>1274</v>
      </c>
      <c r="G733" s="35">
        <v>50</v>
      </c>
      <c r="H733" s="43">
        <v>600</v>
      </c>
      <c r="I733" s="35">
        <v>695</v>
      </c>
      <c r="J733" s="35">
        <v>0</v>
      </c>
      <c r="K733" s="36"/>
      <c r="L733" s="36"/>
      <c r="M733" s="36"/>
      <c r="N733" s="36"/>
      <c r="O733" s="36"/>
      <c r="P733" s="36"/>
      <c r="Q733" s="36"/>
      <c r="R733" s="36"/>
      <c r="S733" s="36"/>
      <c r="T733" s="36"/>
    </row>
    <row r="734" spans="1:20" ht="15.75">
      <c r="A734" s="13">
        <v>63858</v>
      </c>
      <c r="B734" s="44">
        <f t="shared" si="2"/>
        <v>31</v>
      </c>
      <c r="C734" s="35">
        <v>131.881</v>
      </c>
      <c r="D734" s="35">
        <v>277.16699999999997</v>
      </c>
      <c r="E734" s="41">
        <v>829.952</v>
      </c>
      <c r="F734" s="35">
        <v>1239</v>
      </c>
      <c r="G734" s="35">
        <v>75</v>
      </c>
      <c r="H734" s="43">
        <v>600</v>
      </c>
      <c r="I734" s="35">
        <v>695</v>
      </c>
      <c r="J734" s="35">
        <v>0</v>
      </c>
      <c r="K734" s="36"/>
      <c r="L734" s="36"/>
      <c r="M734" s="36"/>
      <c r="N734" s="36"/>
      <c r="O734" s="36"/>
      <c r="P734" s="36"/>
      <c r="Q734" s="36"/>
      <c r="R734" s="36"/>
      <c r="S734" s="36"/>
      <c r="T734" s="36"/>
    </row>
    <row r="735" spans="1:20" ht="15.75">
      <c r="A735" s="13">
        <v>63888</v>
      </c>
      <c r="B735" s="44">
        <f t="shared" si="2"/>
        <v>30</v>
      </c>
      <c r="C735" s="35">
        <v>122.58</v>
      </c>
      <c r="D735" s="35">
        <v>297.94099999999997</v>
      </c>
      <c r="E735" s="41">
        <v>729.47900000000004</v>
      </c>
      <c r="F735" s="35">
        <v>1150</v>
      </c>
      <c r="G735" s="35">
        <v>100</v>
      </c>
      <c r="H735" s="43">
        <v>600</v>
      </c>
      <c r="I735" s="35">
        <v>695</v>
      </c>
      <c r="J735" s="35">
        <v>50</v>
      </c>
      <c r="K735" s="36"/>
      <c r="L735" s="36"/>
      <c r="M735" s="36"/>
      <c r="N735" s="36"/>
      <c r="O735" s="36"/>
      <c r="P735" s="36"/>
      <c r="Q735" s="36"/>
      <c r="R735" s="36"/>
      <c r="S735" s="36"/>
      <c r="T735" s="36"/>
    </row>
    <row r="736" spans="1:20" ht="15.75">
      <c r="A736" s="13">
        <v>63919</v>
      </c>
      <c r="B736" s="44">
        <f t="shared" si="2"/>
        <v>31</v>
      </c>
      <c r="C736" s="35">
        <v>122.58</v>
      </c>
      <c r="D736" s="35">
        <v>297.94099999999997</v>
      </c>
      <c r="E736" s="41">
        <v>729.47900000000004</v>
      </c>
      <c r="F736" s="35">
        <v>1150</v>
      </c>
      <c r="G736" s="35">
        <v>100</v>
      </c>
      <c r="H736" s="43">
        <v>600</v>
      </c>
      <c r="I736" s="35">
        <v>695</v>
      </c>
      <c r="J736" s="35">
        <v>50</v>
      </c>
      <c r="K736" s="36"/>
      <c r="L736" s="36"/>
      <c r="M736" s="36"/>
      <c r="N736" s="36"/>
      <c r="O736" s="36"/>
      <c r="P736" s="36"/>
      <c r="Q736" s="36"/>
      <c r="R736" s="36"/>
      <c r="S736" s="36"/>
      <c r="T736" s="36"/>
    </row>
    <row r="737" spans="1:20" ht="15.75">
      <c r="A737" s="13">
        <v>63950</v>
      </c>
      <c r="B737" s="44">
        <f t="shared" si="2"/>
        <v>31</v>
      </c>
      <c r="C737" s="35">
        <v>122.58</v>
      </c>
      <c r="D737" s="35">
        <v>297.94099999999997</v>
      </c>
      <c r="E737" s="41">
        <v>729.47900000000004</v>
      </c>
      <c r="F737" s="35">
        <v>1150</v>
      </c>
      <c r="G737" s="35">
        <v>100</v>
      </c>
      <c r="H737" s="43">
        <v>600</v>
      </c>
      <c r="I737" s="35">
        <v>695</v>
      </c>
      <c r="J737" s="35">
        <v>50</v>
      </c>
      <c r="K737" s="36"/>
      <c r="L737" s="36"/>
      <c r="M737" s="36"/>
      <c r="N737" s="36"/>
      <c r="O737" s="36"/>
      <c r="P737" s="36"/>
      <c r="Q737" s="36"/>
      <c r="R737" s="36"/>
      <c r="S737" s="36"/>
      <c r="T737" s="36"/>
    </row>
    <row r="738" spans="1:20" ht="15.75">
      <c r="A738" s="13">
        <v>63978</v>
      </c>
      <c r="B738" s="44">
        <f t="shared" si="2"/>
        <v>28</v>
      </c>
      <c r="C738" s="35">
        <v>122.58</v>
      </c>
      <c r="D738" s="35">
        <v>297.94099999999997</v>
      </c>
      <c r="E738" s="41">
        <v>729.47900000000004</v>
      </c>
      <c r="F738" s="35">
        <v>1150</v>
      </c>
      <c r="G738" s="35">
        <v>100</v>
      </c>
      <c r="H738" s="43">
        <v>600</v>
      </c>
      <c r="I738" s="35">
        <v>695</v>
      </c>
      <c r="J738" s="35">
        <v>50</v>
      </c>
      <c r="K738" s="36"/>
      <c r="L738" s="36"/>
      <c r="M738" s="36"/>
      <c r="N738" s="36"/>
      <c r="O738" s="36"/>
      <c r="P738" s="36"/>
      <c r="Q738" s="36"/>
      <c r="R738" s="36"/>
      <c r="S738" s="36"/>
      <c r="T738" s="36"/>
    </row>
    <row r="739" spans="1:20" ht="15.75">
      <c r="A739" s="13">
        <v>64009</v>
      </c>
      <c r="B739" s="44">
        <f t="shared" si="2"/>
        <v>31</v>
      </c>
      <c r="C739" s="35">
        <v>122.58</v>
      </c>
      <c r="D739" s="35">
        <v>297.94099999999997</v>
      </c>
      <c r="E739" s="41">
        <v>729.47900000000004</v>
      </c>
      <c r="F739" s="35">
        <v>1150</v>
      </c>
      <c r="G739" s="35">
        <v>100</v>
      </c>
      <c r="H739" s="43">
        <v>600</v>
      </c>
      <c r="I739" s="35">
        <v>695</v>
      </c>
      <c r="J739" s="35">
        <v>50</v>
      </c>
      <c r="K739" s="36"/>
      <c r="L739" s="36"/>
      <c r="M739" s="36"/>
      <c r="N739" s="36"/>
      <c r="O739" s="36"/>
      <c r="P739" s="36"/>
      <c r="Q739" s="36"/>
      <c r="R739" s="36"/>
      <c r="S739" s="36"/>
      <c r="T739" s="36"/>
    </row>
    <row r="740" spans="1:20" ht="15.75">
      <c r="A740" s="13">
        <v>64039</v>
      </c>
      <c r="B740" s="44">
        <f t="shared" si="2"/>
        <v>30</v>
      </c>
      <c r="C740" s="35">
        <v>141.29300000000001</v>
      </c>
      <c r="D740" s="35">
        <v>267.99299999999999</v>
      </c>
      <c r="E740" s="41">
        <v>829.71400000000006</v>
      </c>
      <c r="F740" s="35">
        <v>1239</v>
      </c>
      <c r="G740" s="35">
        <v>100</v>
      </c>
      <c r="H740" s="43">
        <v>600</v>
      </c>
      <c r="I740" s="35">
        <v>695</v>
      </c>
      <c r="J740" s="35">
        <v>50</v>
      </c>
      <c r="K740" s="36"/>
      <c r="L740" s="36"/>
      <c r="M740" s="36"/>
      <c r="N740" s="36"/>
      <c r="O740" s="36"/>
      <c r="P740" s="36"/>
      <c r="Q740" s="36"/>
      <c r="R740" s="36"/>
      <c r="S740" s="36"/>
      <c r="T740" s="36"/>
    </row>
    <row r="741" spans="1:20" ht="15.75">
      <c r="A741" s="13">
        <v>64070</v>
      </c>
      <c r="B741" s="44">
        <f t="shared" si="2"/>
        <v>31</v>
      </c>
      <c r="C741" s="35">
        <v>194.20500000000001</v>
      </c>
      <c r="D741" s="35">
        <v>267.46600000000001</v>
      </c>
      <c r="E741" s="41">
        <v>812.32899999999995</v>
      </c>
      <c r="F741" s="35">
        <v>1274</v>
      </c>
      <c r="G741" s="35">
        <v>75</v>
      </c>
      <c r="H741" s="43">
        <v>600</v>
      </c>
      <c r="I741" s="35">
        <v>695</v>
      </c>
      <c r="J741" s="35">
        <v>50</v>
      </c>
      <c r="K741" s="36"/>
      <c r="L741" s="36"/>
      <c r="M741" s="36"/>
      <c r="N741" s="36"/>
      <c r="O741" s="36"/>
      <c r="P741" s="36"/>
      <c r="Q741" s="36"/>
      <c r="R741" s="36"/>
      <c r="S741" s="36"/>
      <c r="T741" s="36"/>
    </row>
    <row r="742" spans="1:20" ht="15.75">
      <c r="A742" s="13">
        <v>64100</v>
      </c>
      <c r="B742" s="44">
        <f t="shared" si="2"/>
        <v>30</v>
      </c>
      <c r="C742" s="35">
        <v>194.20500000000001</v>
      </c>
      <c r="D742" s="35">
        <v>267.46600000000001</v>
      </c>
      <c r="E742" s="41">
        <v>812.32899999999995</v>
      </c>
      <c r="F742" s="35">
        <v>1274</v>
      </c>
      <c r="G742" s="35">
        <v>50</v>
      </c>
      <c r="H742" s="43">
        <v>600</v>
      </c>
      <c r="I742" s="35">
        <v>695</v>
      </c>
      <c r="J742" s="35">
        <v>50</v>
      </c>
      <c r="K742" s="36"/>
      <c r="L742" s="36"/>
      <c r="M742" s="36"/>
      <c r="N742" s="36"/>
      <c r="O742" s="36"/>
      <c r="P742" s="36"/>
      <c r="Q742" s="36"/>
      <c r="R742" s="36"/>
      <c r="S742" s="36"/>
      <c r="T742" s="36"/>
    </row>
    <row r="743" spans="1:20" ht="15.75">
      <c r="A743" s="13">
        <v>64131</v>
      </c>
      <c r="B743" s="44">
        <f t="shared" si="2"/>
        <v>31</v>
      </c>
      <c r="C743" s="35">
        <v>194.20500000000001</v>
      </c>
      <c r="D743" s="35">
        <v>267.46600000000001</v>
      </c>
      <c r="E743" s="41">
        <v>812.32899999999995</v>
      </c>
      <c r="F743" s="35">
        <v>1274</v>
      </c>
      <c r="G743" s="35">
        <v>50</v>
      </c>
      <c r="H743" s="43">
        <v>600</v>
      </c>
      <c r="I743" s="35">
        <v>695</v>
      </c>
      <c r="J743" s="35">
        <v>0</v>
      </c>
      <c r="K743" s="36"/>
      <c r="L743" s="36"/>
      <c r="M743" s="36"/>
      <c r="N743" s="36"/>
      <c r="O743" s="36"/>
      <c r="P743" s="36"/>
      <c r="Q743" s="36"/>
      <c r="R743" s="36"/>
      <c r="S743" s="36"/>
      <c r="T743" s="36"/>
    </row>
    <row r="744" spans="1:20" ht="15.75">
      <c r="A744" s="13">
        <v>64162</v>
      </c>
      <c r="B744" s="44">
        <f t="shared" si="2"/>
        <v>31</v>
      </c>
      <c r="C744" s="35">
        <v>194.20500000000001</v>
      </c>
      <c r="D744" s="35">
        <v>267.46600000000001</v>
      </c>
      <c r="E744" s="41">
        <v>812.32899999999995</v>
      </c>
      <c r="F744" s="35">
        <v>1274</v>
      </c>
      <c r="G744" s="35">
        <v>50</v>
      </c>
      <c r="H744" s="43">
        <v>600</v>
      </c>
      <c r="I744" s="35">
        <v>695</v>
      </c>
      <c r="J744" s="35">
        <v>0</v>
      </c>
      <c r="K744" s="36"/>
      <c r="L744" s="36"/>
      <c r="M744" s="36"/>
      <c r="N744" s="36"/>
      <c r="O744" s="36"/>
      <c r="P744" s="36"/>
      <c r="Q744" s="36"/>
      <c r="R744" s="36"/>
      <c r="S744" s="36"/>
      <c r="T744" s="36"/>
    </row>
    <row r="745" spans="1:20" ht="15.75">
      <c r="A745" s="13">
        <v>64192</v>
      </c>
      <c r="B745" s="44">
        <f t="shared" si="2"/>
        <v>30</v>
      </c>
      <c r="C745" s="35">
        <v>194.20500000000001</v>
      </c>
      <c r="D745" s="35">
        <v>267.46600000000001</v>
      </c>
      <c r="E745" s="41">
        <v>812.32899999999995</v>
      </c>
      <c r="F745" s="35">
        <v>1274</v>
      </c>
      <c r="G745" s="35">
        <v>50</v>
      </c>
      <c r="H745" s="43">
        <v>600</v>
      </c>
      <c r="I745" s="35">
        <v>695</v>
      </c>
      <c r="J745" s="35">
        <v>0</v>
      </c>
      <c r="K745" s="36"/>
      <c r="L745" s="36"/>
      <c r="M745" s="36"/>
      <c r="N745" s="36"/>
      <c r="O745" s="36"/>
      <c r="P745" s="36"/>
      <c r="Q745" s="36"/>
      <c r="R745" s="36"/>
      <c r="S745" s="36"/>
      <c r="T745" s="36"/>
    </row>
    <row r="746" spans="1:20" ht="15.75">
      <c r="A746" s="13">
        <v>64223</v>
      </c>
      <c r="B746" s="44">
        <f t="shared" si="2"/>
        <v>31</v>
      </c>
      <c r="C746" s="35">
        <v>131.881</v>
      </c>
      <c r="D746" s="35">
        <v>277.16699999999997</v>
      </c>
      <c r="E746" s="41">
        <v>829.952</v>
      </c>
      <c r="F746" s="35">
        <v>1239</v>
      </c>
      <c r="G746" s="35">
        <v>75</v>
      </c>
      <c r="H746" s="43">
        <v>600</v>
      </c>
      <c r="I746" s="35">
        <v>695</v>
      </c>
      <c r="J746" s="35">
        <v>0</v>
      </c>
      <c r="K746" s="36"/>
      <c r="L746" s="36"/>
      <c r="M746" s="36"/>
      <c r="N746" s="36"/>
      <c r="O746" s="36"/>
      <c r="P746" s="36"/>
      <c r="Q746" s="36"/>
      <c r="R746" s="36"/>
      <c r="S746" s="36"/>
      <c r="T746" s="36"/>
    </row>
    <row r="747" spans="1:20" ht="15.75">
      <c r="A747" s="13">
        <v>64253</v>
      </c>
      <c r="B747" s="44">
        <f t="shared" si="2"/>
        <v>30</v>
      </c>
      <c r="C747" s="35">
        <v>122.58</v>
      </c>
      <c r="D747" s="35">
        <v>297.94099999999997</v>
      </c>
      <c r="E747" s="41">
        <v>729.47900000000004</v>
      </c>
      <c r="F747" s="35">
        <v>1150</v>
      </c>
      <c r="G747" s="35">
        <v>100</v>
      </c>
      <c r="H747" s="43">
        <v>600</v>
      </c>
      <c r="I747" s="35">
        <v>695</v>
      </c>
      <c r="J747" s="35">
        <v>50</v>
      </c>
      <c r="K747" s="36"/>
      <c r="L747" s="36"/>
      <c r="M747" s="36"/>
      <c r="N747" s="36"/>
      <c r="O747" s="36"/>
      <c r="P747" s="36"/>
      <c r="Q747" s="36"/>
      <c r="R747" s="36"/>
      <c r="S747" s="36"/>
      <c r="T747" s="36"/>
    </row>
    <row r="748" spans="1:20" ht="15.75">
      <c r="A748" s="13">
        <v>64284</v>
      </c>
      <c r="B748" s="44">
        <f t="shared" si="2"/>
        <v>31</v>
      </c>
      <c r="C748" s="35">
        <v>122.58</v>
      </c>
      <c r="D748" s="35">
        <v>297.94099999999997</v>
      </c>
      <c r="E748" s="41">
        <v>729.47900000000004</v>
      </c>
      <c r="F748" s="35">
        <v>1150</v>
      </c>
      <c r="G748" s="35">
        <v>100</v>
      </c>
      <c r="H748" s="43">
        <v>600</v>
      </c>
      <c r="I748" s="35">
        <v>695</v>
      </c>
      <c r="J748" s="35">
        <v>50</v>
      </c>
      <c r="K748" s="36"/>
      <c r="L748" s="36"/>
      <c r="M748" s="36"/>
      <c r="N748" s="36"/>
      <c r="O748" s="36"/>
      <c r="P748" s="36"/>
      <c r="Q748" s="36"/>
      <c r="R748" s="36"/>
      <c r="S748" s="36"/>
      <c r="T748" s="36"/>
    </row>
    <row r="749" spans="1:20" ht="15.75">
      <c r="A749" s="13">
        <v>64315</v>
      </c>
      <c r="B749" s="44">
        <f t="shared" si="2"/>
        <v>31</v>
      </c>
      <c r="C749" s="35">
        <v>122.58</v>
      </c>
      <c r="D749" s="35">
        <v>297.94099999999997</v>
      </c>
      <c r="E749" s="41">
        <v>729.47900000000004</v>
      </c>
      <c r="F749" s="35">
        <v>1150</v>
      </c>
      <c r="G749" s="35">
        <v>100</v>
      </c>
      <c r="H749" s="43">
        <v>600</v>
      </c>
      <c r="I749" s="35">
        <v>695</v>
      </c>
      <c r="J749" s="35">
        <v>50</v>
      </c>
      <c r="K749" s="36"/>
      <c r="L749" s="36"/>
      <c r="M749" s="36"/>
      <c r="N749" s="36"/>
      <c r="O749" s="36"/>
      <c r="P749" s="36"/>
      <c r="Q749" s="36"/>
      <c r="R749" s="36"/>
      <c r="S749" s="36"/>
      <c r="T749" s="36"/>
    </row>
    <row r="750" spans="1:20" ht="15.75">
      <c r="A750" s="13">
        <v>64344</v>
      </c>
      <c r="B750" s="44">
        <f t="shared" si="2"/>
        <v>29</v>
      </c>
      <c r="C750" s="35">
        <v>122.58</v>
      </c>
      <c r="D750" s="35">
        <v>297.94099999999997</v>
      </c>
      <c r="E750" s="41">
        <v>729.47900000000004</v>
      </c>
      <c r="F750" s="35">
        <v>1150</v>
      </c>
      <c r="G750" s="35">
        <v>100</v>
      </c>
      <c r="H750" s="43">
        <v>600</v>
      </c>
      <c r="I750" s="35">
        <v>695</v>
      </c>
      <c r="J750" s="35">
        <v>50</v>
      </c>
      <c r="K750" s="36"/>
      <c r="L750" s="36"/>
      <c r="M750" s="36"/>
      <c r="N750" s="36"/>
      <c r="O750" s="36"/>
      <c r="P750" s="36"/>
      <c r="Q750" s="36"/>
      <c r="R750" s="36"/>
      <c r="S750" s="36"/>
      <c r="T750" s="36"/>
    </row>
    <row r="751" spans="1:20" ht="15.75">
      <c r="A751" s="13">
        <v>64375</v>
      </c>
      <c r="B751" s="44">
        <f t="shared" si="2"/>
        <v>31</v>
      </c>
      <c r="C751" s="35">
        <v>122.58</v>
      </c>
      <c r="D751" s="35">
        <v>297.94099999999997</v>
      </c>
      <c r="E751" s="41">
        <v>729.47900000000004</v>
      </c>
      <c r="F751" s="35">
        <v>1150</v>
      </c>
      <c r="G751" s="35">
        <v>100</v>
      </c>
      <c r="H751" s="43">
        <v>600</v>
      </c>
      <c r="I751" s="35">
        <v>695</v>
      </c>
      <c r="J751" s="35">
        <v>50</v>
      </c>
      <c r="K751" s="36"/>
      <c r="L751" s="36"/>
      <c r="M751" s="36"/>
      <c r="N751" s="36"/>
      <c r="O751" s="36"/>
      <c r="P751" s="36"/>
      <c r="Q751" s="36"/>
      <c r="R751" s="36"/>
      <c r="S751" s="36"/>
      <c r="T751" s="36"/>
    </row>
    <row r="752" spans="1:20" ht="15.75">
      <c r="A752" s="13">
        <v>64405</v>
      </c>
      <c r="B752" s="44">
        <f t="shared" si="2"/>
        <v>30</v>
      </c>
      <c r="C752" s="35">
        <v>141.29300000000001</v>
      </c>
      <c r="D752" s="35">
        <v>267.99299999999999</v>
      </c>
      <c r="E752" s="41">
        <v>829.71400000000006</v>
      </c>
      <c r="F752" s="35">
        <v>1239</v>
      </c>
      <c r="G752" s="35">
        <v>100</v>
      </c>
      <c r="H752" s="43">
        <v>600</v>
      </c>
      <c r="I752" s="35">
        <v>695</v>
      </c>
      <c r="J752" s="35">
        <v>50</v>
      </c>
      <c r="K752" s="36"/>
      <c r="L752" s="36"/>
      <c r="M752" s="36"/>
      <c r="N752" s="36"/>
      <c r="O752" s="36"/>
      <c r="P752" s="36"/>
      <c r="Q752" s="36"/>
      <c r="R752" s="36"/>
      <c r="S752" s="36"/>
      <c r="T752" s="36"/>
    </row>
    <row r="753" spans="1:20" ht="15.75">
      <c r="A753" s="13">
        <v>64436</v>
      </c>
      <c r="B753" s="44">
        <f t="shared" si="2"/>
        <v>31</v>
      </c>
      <c r="C753" s="35">
        <v>194.20500000000001</v>
      </c>
      <c r="D753" s="35">
        <v>267.46600000000001</v>
      </c>
      <c r="E753" s="41">
        <v>812.32899999999995</v>
      </c>
      <c r="F753" s="35">
        <v>1274</v>
      </c>
      <c r="G753" s="35">
        <v>75</v>
      </c>
      <c r="H753" s="43">
        <v>600</v>
      </c>
      <c r="I753" s="35">
        <v>695</v>
      </c>
      <c r="J753" s="35">
        <v>50</v>
      </c>
      <c r="K753" s="36"/>
      <c r="L753" s="36"/>
      <c r="M753" s="36"/>
      <c r="N753" s="36"/>
      <c r="O753" s="36"/>
      <c r="P753" s="36"/>
      <c r="Q753" s="36"/>
      <c r="R753" s="36"/>
      <c r="S753" s="36"/>
      <c r="T753" s="36"/>
    </row>
    <row r="754" spans="1:20" ht="15.75">
      <c r="A754" s="13">
        <v>64466</v>
      </c>
      <c r="B754" s="44">
        <f t="shared" si="2"/>
        <v>30</v>
      </c>
      <c r="C754" s="35">
        <v>194.20500000000001</v>
      </c>
      <c r="D754" s="35">
        <v>267.46600000000001</v>
      </c>
      <c r="E754" s="41">
        <v>812.32899999999995</v>
      </c>
      <c r="F754" s="35">
        <v>1274</v>
      </c>
      <c r="G754" s="35">
        <v>50</v>
      </c>
      <c r="H754" s="43">
        <v>600</v>
      </c>
      <c r="I754" s="35">
        <v>695</v>
      </c>
      <c r="J754" s="35">
        <v>50</v>
      </c>
      <c r="K754" s="36"/>
      <c r="L754" s="36"/>
      <c r="M754" s="36"/>
      <c r="N754" s="36"/>
      <c r="O754" s="36"/>
      <c r="P754" s="36"/>
      <c r="Q754" s="36"/>
      <c r="R754" s="36"/>
      <c r="S754" s="36"/>
      <c r="T754" s="36"/>
    </row>
    <row r="755" spans="1:20" ht="15.75">
      <c r="A755" s="13">
        <v>64497</v>
      </c>
      <c r="B755" s="44">
        <f t="shared" si="2"/>
        <v>31</v>
      </c>
      <c r="C755" s="35">
        <v>194.20500000000001</v>
      </c>
      <c r="D755" s="35">
        <v>267.46600000000001</v>
      </c>
      <c r="E755" s="41">
        <v>812.32899999999995</v>
      </c>
      <c r="F755" s="35">
        <v>1274</v>
      </c>
      <c r="G755" s="35">
        <v>50</v>
      </c>
      <c r="H755" s="43">
        <v>600</v>
      </c>
      <c r="I755" s="35">
        <v>695</v>
      </c>
      <c r="J755" s="35">
        <v>0</v>
      </c>
      <c r="K755" s="36"/>
      <c r="L755" s="36"/>
      <c r="M755" s="36"/>
      <c r="N755" s="36"/>
      <c r="O755" s="36"/>
      <c r="P755" s="36"/>
      <c r="Q755" s="36"/>
      <c r="R755" s="36"/>
      <c r="S755" s="36"/>
      <c r="T755" s="36"/>
    </row>
    <row r="756" spans="1:20" ht="15.75">
      <c r="A756" s="13">
        <v>64528</v>
      </c>
      <c r="B756" s="44">
        <f t="shared" si="2"/>
        <v>31</v>
      </c>
      <c r="C756" s="35">
        <v>194.20500000000001</v>
      </c>
      <c r="D756" s="35">
        <v>267.46600000000001</v>
      </c>
      <c r="E756" s="41">
        <v>812.32899999999995</v>
      </c>
      <c r="F756" s="35">
        <v>1274</v>
      </c>
      <c r="G756" s="35">
        <v>50</v>
      </c>
      <c r="H756" s="43">
        <v>600</v>
      </c>
      <c r="I756" s="35">
        <v>695</v>
      </c>
      <c r="J756" s="35">
        <v>0</v>
      </c>
      <c r="K756" s="36"/>
      <c r="L756" s="36"/>
      <c r="M756" s="36"/>
      <c r="N756" s="36"/>
      <c r="O756" s="36"/>
      <c r="P756" s="36"/>
      <c r="Q756" s="36"/>
      <c r="R756" s="36"/>
      <c r="S756" s="36"/>
      <c r="T756" s="36"/>
    </row>
    <row r="757" spans="1:20" ht="15.75">
      <c r="A757" s="13">
        <v>64558</v>
      </c>
      <c r="B757" s="44">
        <f t="shared" si="2"/>
        <v>30</v>
      </c>
      <c r="C757" s="35">
        <v>194.20500000000001</v>
      </c>
      <c r="D757" s="35">
        <v>267.46600000000001</v>
      </c>
      <c r="E757" s="41">
        <v>812.32899999999995</v>
      </c>
      <c r="F757" s="35">
        <v>1274</v>
      </c>
      <c r="G757" s="35">
        <v>50</v>
      </c>
      <c r="H757" s="43">
        <v>600</v>
      </c>
      <c r="I757" s="35">
        <v>695</v>
      </c>
      <c r="J757" s="35">
        <v>0</v>
      </c>
      <c r="K757" s="36"/>
      <c r="L757" s="36"/>
      <c r="M757" s="36"/>
      <c r="N757" s="36"/>
      <c r="O757" s="36"/>
      <c r="P757" s="36"/>
      <c r="Q757" s="36"/>
      <c r="R757" s="36"/>
      <c r="S757" s="36"/>
      <c r="T757" s="36"/>
    </row>
    <row r="758" spans="1:20" ht="15.75">
      <c r="A758" s="13">
        <v>64589</v>
      </c>
      <c r="B758" s="44">
        <f t="shared" si="2"/>
        <v>31</v>
      </c>
      <c r="C758" s="35">
        <v>131.881</v>
      </c>
      <c r="D758" s="35">
        <v>277.16699999999997</v>
      </c>
      <c r="E758" s="41">
        <v>829.952</v>
      </c>
      <c r="F758" s="35">
        <v>1239</v>
      </c>
      <c r="G758" s="35">
        <v>75</v>
      </c>
      <c r="H758" s="43">
        <v>600</v>
      </c>
      <c r="I758" s="35">
        <v>695</v>
      </c>
      <c r="J758" s="35">
        <v>0</v>
      </c>
      <c r="K758" s="36"/>
      <c r="L758" s="36"/>
      <c r="M758" s="36"/>
      <c r="N758" s="36"/>
      <c r="O758" s="36"/>
      <c r="P758" s="36"/>
      <c r="Q758" s="36"/>
      <c r="R758" s="36"/>
      <c r="S758" s="36"/>
      <c r="T758" s="36"/>
    </row>
    <row r="759" spans="1:20" ht="15.75">
      <c r="A759" s="13">
        <v>64619</v>
      </c>
      <c r="B759" s="44">
        <f t="shared" si="2"/>
        <v>30</v>
      </c>
      <c r="C759" s="35">
        <v>122.58</v>
      </c>
      <c r="D759" s="35">
        <v>297.94099999999997</v>
      </c>
      <c r="E759" s="41">
        <v>729.47900000000004</v>
      </c>
      <c r="F759" s="35">
        <v>1150</v>
      </c>
      <c r="G759" s="35">
        <v>100</v>
      </c>
      <c r="H759" s="43">
        <v>600</v>
      </c>
      <c r="I759" s="35">
        <v>695</v>
      </c>
      <c r="J759" s="35">
        <v>50</v>
      </c>
      <c r="K759" s="36"/>
      <c r="L759" s="36"/>
      <c r="M759" s="36"/>
      <c r="N759" s="36"/>
      <c r="O759" s="36"/>
      <c r="P759" s="36"/>
      <c r="Q759" s="36"/>
      <c r="R759" s="36"/>
      <c r="S759" s="36"/>
      <c r="T759" s="36"/>
    </row>
    <row r="760" spans="1:20" ht="15.75">
      <c r="A760" s="13">
        <v>64650</v>
      </c>
      <c r="B760" s="44">
        <f t="shared" si="2"/>
        <v>31</v>
      </c>
      <c r="C760" s="35">
        <v>122.58</v>
      </c>
      <c r="D760" s="35">
        <v>297.94099999999997</v>
      </c>
      <c r="E760" s="41">
        <v>729.47900000000004</v>
      </c>
      <c r="F760" s="35">
        <v>1150</v>
      </c>
      <c r="G760" s="35">
        <v>100</v>
      </c>
      <c r="H760" s="43">
        <v>600</v>
      </c>
      <c r="I760" s="35">
        <v>695</v>
      </c>
      <c r="J760" s="35">
        <v>50</v>
      </c>
      <c r="K760" s="36"/>
      <c r="L760" s="36"/>
      <c r="M760" s="36"/>
      <c r="N760" s="36"/>
      <c r="O760" s="36"/>
      <c r="P760" s="36"/>
      <c r="Q760" s="36"/>
      <c r="R760" s="36"/>
      <c r="S760" s="36"/>
      <c r="T760" s="36"/>
    </row>
    <row r="761" spans="1:20" ht="15.75">
      <c r="A761" s="13">
        <v>64681</v>
      </c>
      <c r="B761" s="44">
        <f t="shared" si="2"/>
        <v>31</v>
      </c>
      <c r="C761" s="35">
        <v>122.58</v>
      </c>
      <c r="D761" s="35">
        <v>297.94099999999997</v>
      </c>
      <c r="E761" s="41">
        <v>729.47900000000004</v>
      </c>
      <c r="F761" s="35">
        <v>1150</v>
      </c>
      <c r="G761" s="35">
        <v>100</v>
      </c>
      <c r="H761" s="43">
        <v>600</v>
      </c>
      <c r="I761" s="35">
        <v>695</v>
      </c>
      <c r="J761" s="35">
        <v>50</v>
      </c>
      <c r="K761" s="36"/>
      <c r="L761" s="36"/>
      <c r="M761" s="36"/>
      <c r="N761" s="36"/>
      <c r="O761" s="36"/>
      <c r="P761" s="36"/>
      <c r="Q761" s="36"/>
      <c r="R761" s="36"/>
      <c r="S761" s="36"/>
      <c r="T761" s="36"/>
    </row>
    <row r="762" spans="1:20" ht="15.75">
      <c r="A762" s="13">
        <v>64709</v>
      </c>
      <c r="B762" s="44">
        <f t="shared" si="2"/>
        <v>28</v>
      </c>
      <c r="C762" s="35">
        <v>122.58</v>
      </c>
      <c r="D762" s="35">
        <v>297.94099999999997</v>
      </c>
      <c r="E762" s="41">
        <v>729.47900000000004</v>
      </c>
      <c r="F762" s="35">
        <v>1150</v>
      </c>
      <c r="G762" s="35">
        <v>100</v>
      </c>
      <c r="H762" s="43">
        <v>600</v>
      </c>
      <c r="I762" s="35">
        <v>695</v>
      </c>
      <c r="J762" s="35">
        <v>50</v>
      </c>
      <c r="K762" s="36"/>
      <c r="L762" s="36"/>
      <c r="M762" s="36"/>
      <c r="N762" s="36"/>
      <c r="O762" s="36"/>
      <c r="P762" s="36"/>
      <c r="Q762" s="36"/>
      <c r="R762" s="36"/>
      <c r="S762" s="36"/>
      <c r="T762" s="36"/>
    </row>
    <row r="763" spans="1:20" ht="15.75">
      <c r="A763" s="13">
        <v>64740</v>
      </c>
      <c r="B763" s="44">
        <f t="shared" si="2"/>
        <v>31</v>
      </c>
      <c r="C763" s="35">
        <v>122.58</v>
      </c>
      <c r="D763" s="35">
        <v>297.94099999999997</v>
      </c>
      <c r="E763" s="41">
        <v>729.47900000000004</v>
      </c>
      <c r="F763" s="35">
        <v>1150</v>
      </c>
      <c r="G763" s="35">
        <v>100</v>
      </c>
      <c r="H763" s="43">
        <v>600</v>
      </c>
      <c r="I763" s="35">
        <v>695</v>
      </c>
      <c r="J763" s="35">
        <v>50</v>
      </c>
      <c r="K763" s="36"/>
      <c r="L763" s="36"/>
      <c r="M763" s="36"/>
      <c r="N763" s="36"/>
      <c r="O763" s="36"/>
      <c r="P763" s="36"/>
      <c r="Q763" s="36"/>
      <c r="R763" s="36"/>
      <c r="S763" s="36"/>
      <c r="T763" s="36"/>
    </row>
    <row r="764" spans="1:20" ht="15.75">
      <c r="A764" s="13">
        <v>64770</v>
      </c>
      <c r="B764" s="44">
        <f t="shared" si="2"/>
        <v>30</v>
      </c>
      <c r="C764" s="35">
        <v>141.29300000000001</v>
      </c>
      <c r="D764" s="35">
        <v>267.99299999999999</v>
      </c>
      <c r="E764" s="41">
        <v>829.71400000000006</v>
      </c>
      <c r="F764" s="35">
        <v>1239</v>
      </c>
      <c r="G764" s="35">
        <v>100</v>
      </c>
      <c r="H764" s="43">
        <v>600</v>
      </c>
      <c r="I764" s="35">
        <v>695</v>
      </c>
      <c r="J764" s="35">
        <v>50</v>
      </c>
      <c r="K764" s="36"/>
      <c r="L764" s="36"/>
      <c r="M764" s="36"/>
      <c r="N764" s="36"/>
      <c r="O764" s="36"/>
      <c r="P764" s="36"/>
      <c r="Q764" s="36"/>
      <c r="R764" s="36"/>
      <c r="S764" s="36"/>
      <c r="T764" s="36"/>
    </row>
    <row r="765" spans="1:20" ht="15.75">
      <c r="A765" s="13">
        <v>64801</v>
      </c>
      <c r="B765" s="44">
        <f t="shared" si="2"/>
        <v>31</v>
      </c>
      <c r="C765" s="35">
        <v>194.20500000000001</v>
      </c>
      <c r="D765" s="35">
        <v>267.46600000000001</v>
      </c>
      <c r="E765" s="41">
        <v>812.32899999999995</v>
      </c>
      <c r="F765" s="35">
        <v>1274</v>
      </c>
      <c r="G765" s="35">
        <v>75</v>
      </c>
      <c r="H765" s="43">
        <v>600</v>
      </c>
      <c r="I765" s="35">
        <v>695</v>
      </c>
      <c r="J765" s="35">
        <v>50</v>
      </c>
      <c r="K765" s="36"/>
      <c r="L765" s="36"/>
      <c r="M765" s="36"/>
      <c r="N765" s="36"/>
      <c r="O765" s="36"/>
      <c r="P765" s="36"/>
      <c r="Q765" s="36"/>
      <c r="R765" s="36"/>
      <c r="S765" s="36"/>
      <c r="T765" s="36"/>
    </row>
    <row r="766" spans="1:20" ht="15.75">
      <c r="A766" s="13">
        <v>64831</v>
      </c>
      <c r="B766" s="44">
        <f t="shared" si="2"/>
        <v>30</v>
      </c>
      <c r="C766" s="35">
        <v>194.20500000000001</v>
      </c>
      <c r="D766" s="35">
        <v>267.46600000000001</v>
      </c>
      <c r="E766" s="41">
        <v>812.32899999999995</v>
      </c>
      <c r="F766" s="35">
        <v>1274</v>
      </c>
      <c r="G766" s="35">
        <v>50</v>
      </c>
      <c r="H766" s="43">
        <v>600</v>
      </c>
      <c r="I766" s="35">
        <v>695</v>
      </c>
      <c r="J766" s="35">
        <v>50</v>
      </c>
      <c r="K766" s="36"/>
      <c r="L766" s="36"/>
      <c r="M766" s="36"/>
      <c r="N766" s="36"/>
      <c r="O766" s="36"/>
      <c r="P766" s="36"/>
      <c r="Q766" s="36"/>
      <c r="R766" s="36"/>
      <c r="S766" s="36"/>
      <c r="T766" s="36"/>
    </row>
    <row r="767" spans="1:20" ht="15.75">
      <c r="A767" s="13">
        <v>64862</v>
      </c>
      <c r="B767" s="44">
        <f t="shared" si="2"/>
        <v>31</v>
      </c>
      <c r="C767" s="35">
        <v>194.20500000000001</v>
      </c>
      <c r="D767" s="35">
        <v>267.46600000000001</v>
      </c>
      <c r="E767" s="41">
        <v>812.32899999999995</v>
      </c>
      <c r="F767" s="35">
        <v>1274</v>
      </c>
      <c r="G767" s="35">
        <v>50</v>
      </c>
      <c r="H767" s="43">
        <v>600</v>
      </c>
      <c r="I767" s="35">
        <v>695</v>
      </c>
      <c r="J767" s="35">
        <v>0</v>
      </c>
      <c r="K767" s="36"/>
      <c r="L767" s="36"/>
      <c r="M767" s="36"/>
      <c r="N767" s="36"/>
      <c r="O767" s="36"/>
      <c r="P767" s="36"/>
      <c r="Q767" s="36"/>
      <c r="R767" s="36"/>
      <c r="S767" s="36"/>
      <c r="T767" s="36"/>
    </row>
    <row r="768" spans="1:20" ht="15.75">
      <c r="A768" s="13">
        <v>64893</v>
      </c>
      <c r="B768" s="44">
        <f t="shared" si="2"/>
        <v>31</v>
      </c>
      <c r="C768" s="35">
        <v>194.20500000000001</v>
      </c>
      <c r="D768" s="35">
        <v>267.46600000000001</v>
      </c>
      <c r="E768" s="41">
        <v>812.32899999999995</v>
      </c>
      <c r="F768" s="35">
        <v>1274</v>
      </c>
      <c r="G768" s="35">
        <v>50</v>
      </c>
      <c r="H768" s="43">
        <v>600</v>
      </c>
      <c r="I768" s="35">
        <v>695</v>
      </c>
      <c r="J768" s="35">
        <v>0</v>
      </c>
      <c r="K768" s="36"/>
      <c r="L768" s="36"/>
      <c r="M768" s="36"/>
      <c r="N768" s="36"/>
      <c r="O768" s="36"/>
      <c r="P768" s="36"/>
      <c r="Q768" s="36"/>
      <c r="R768" s="36"/>
      <c r="S768" s="36"/>
      <c r="T768" s="36"/>
    </row>
    <row r="769" spans="1:20" ht="15.75">
      <c r="A769" s="13">
        <v>64923</v>
      </c>
      <c r="B769" s="44">
        <f t="shared" si="2"/>
        <v>30</v>
      </c>
      <c r="C769" s="35">
        <v>194.20500000000001</v>
      </c>
      <c r="D769" s="35">
        <v>267.46600000000001</v>
      </c>
      <c r="E769" s="41">
        <v>812.32899999999995</v>
      </c>
      <c r="F769" s="35">
        <v>1274</v>
      </c>
      <c r="G769" s="35">
        <v>50</v>
      </c>
      <c r="H769" s="43">
        <v>600</v>
      </c>
      <c r="I769" s="35">
        <v>695</v>
      </c>
      <c r="J769" s="35">
        <v>0</v>
      </c>
      <c r="K769" s="36"/>
      <c r="L769" s="36"/>
      <c r="M769" s="36"/>
      <c r="N769" s="36"/>
      <c r="O769" s="36"/>
      <c r="P769" s="36"/>
      <c r="Q769" s="36"/>
      <c r="R769" s="36"/>
      <c r="S769" s="36"/>
      <c r="T769" s="36"/>
    </row>
    <row r="770" spans="1:20" ht="15.75">
      <c r="A770" s="13">
        <v>64954</v>
      </c>
      <c r="B770" s="44">
        <f t="shared" si="2"/>
        <v>31</v>
      </c>
      <c r="C770" s="35">
        <v>131.881</v>
      </c>
      <c r="D770" s="35">
        <v>277.16699999999997</v>
      </c>
      <c r="E770" s="41">
        <v>829.952</v>
      </c>
      <c r="F770" s="35">
        <v>1239</v>
      </c>
      <c r="G770" s="35">
        <v>75</v>
      </c>
      <c r="H770" s="43">
        <v>600</v>
      </c>
      <c r="I770" s="35">
        <v>695</v>
      </c>
      <c r="J770" s="35">
        <v>0</v>
      </c>
      <c r="K770" s="36"/>
      <c r="L770" s="36"/>
      <c r="M770" s="36"/>
      <c r="N770" s="36"/>
      <c r="O770" s="36"/>
      <c r="P770" s="36"/>
      <c r="Q770" s="36"/>
      <c r="R770" s="36"/>
      <c r="S770" s="36"/>
      <c r="T770" s="36"/>
    </row>
    <row r="771" spans="1:20" ht="15.75">
      <c r="A771" s="13">
        <v>64984</v>
      </c>
      <c r="B771" s="44">
        <f t="shared" si="2"/>
        <v>30</v>
      </c>
      <c r="C771" s="35">
        <v>122.58</v>
      </c>
      <c r="D771" s="35">
        <v>297.94099999999997</v>
      </c>
      <c r="E771" s="41">
        <v>729.47900000000004</v>
      </c>
      <c r="F771" s="35">
        <v>1150</v>
      </c>
      <c r="G771" s="35">
        <v>100</v>
      </c>
      <c r="H771" s="43">
        <v>600</v>
      </c>
      <c r="I771" s="35">
        <v>695</v>
      </c>
      <c r="J771" s="35">
        <v>50</v>
      </c>
      <c r="K771" s="36"/>
      <c r="L771" s="36"/>
      <c r="M771" s="36"/>
      <c r="N771" s="36"/>
      <c r="O771" s="36"/>
      <c r="P771" s="36"/>
      <c r="Q771" s="36"/>
      <c r="R771" s="36"/>
      <c r="S771" s="36"/>
      <c r="T771" s="36"/>
    </row>
    <row r="772" spans="1:20" ht="15.75">
      <c r="A772" s="13">
        <v>65015</v>
      </c>
      <c r="B772" s="44">
        <f t="shared" si="2"/>
        <v>31</v>
      </c>
      <c r="C772" s="35">
        <v>122.58</v>
      </c>
      <c r="D772" s="35">
        <v>297.94099999999997</v>
      </c>
      <c r="E772" s="41">
        <v>729.47900000000004</v>
      </c>
      <c r="F772" s="35">
        <v>1150</v>
      </c>
      <c r="G772" s="35">
        <v>100</v>
      </c>
      <c r="H772" s="43">
        <v>600</v>
      </c>
      <c r="I772" s="35">
        <v>695</v>
      </c>
      <c r="J772" s="35">
        <v>50</v>
      </c>
      <c r="K772" s="36"/>
      <c r="L772" s="36"/>
      <c r="M772" s="36"/>
      <c r="N772" s="36"/>
      <c r="O772" s="36"/>
      <c r="P772" s="36"/>
      <c r="Q772" s="36"/>
      <c r="R772" s="36"/>
      <c r="S772" s="36"/>
      <c r="T772" s="36"/>
    </row>
    <row r="773" spans="1:20" ht="15.75">
      <c r="A773" s="13">
        <v>65046</v>
      </c>
      <c r="B773" s="44">
        <f t="shared" ref="B773:B836" si="3">EOMONTH(A773,0)-EOMONTH(A773,-1)</f>
        <v>31</v>
      </c>
      <c r="C773" s="35">
        <v>122.58</v>
      </c>
      <c r="D773" s="35">
        <v>297.94099999999997</v>
      </c>
      <c r="E773" s="41">
        <v>729.47900000000004</v>
      </c>
      <c r="F773" s="35">
        <v>1150</v>
      </c>
      <c r="G773" s="35">
        <v>100</v>
      </c>
      <c r="H773" s="43">
        <v>600</v>
      </c>
      <c r="I773" s="35">
        <v>695</v>
      </c>
      <c r="J773" s="35">
        <v>50</v>
      </c>
      <c r="K773" s="36"/>
      <c r="L773" s="36"/>
      <c r="M773" s="36"/>
      <c r="N773" s="36"/>
      <c r="O773" s="36"/>
      <c r="P773" s="36"/>
      <c r="Q773" s="36"/>
      <c r="R773" s="36"/>
      <c r="S773" s="36"/>
      <c r="T773" s="36"/>
    </row>
    <row r="774" spans="1:20" ht="15.75">
      <c r="A774" s="13">
        <v>65074</v>
      </c>
      <c r="B774" s="44">
        <f t="shared" si="3"/>
        <v>28</v>
      </c>
      <c r="C774" s="35">
        <v>122.58</v>
      </c>
      <c r="D774" s="35">
        <v>297.94099999999997</v>
      </c>
      <c r="E774" s="41">
        <v>729.47900000000004</v>
      </c>
      <c r="F774" s="35">
        <v>1150</v>
      </c>
      <c r="G774" s="35">
        <v>100</v>
      </c>
      <c r="H774" s="43">
        <v>600</v>
      </c>
      <c r="I774" s="35">
        <v>695</v>
      </c>
      <c r="J774" s="35">
        <v>50</v>
      </c>
      <c r="K774" s="36"/>
      <c r="L774" s="36"/>
      <c r="M774" s="36"/>
      <c r="N774" s="36"/>
      <c r="O774" s="36"/>
      <c r="P774" s="36"/>
      <c r="Q774" s="36"/>
      <c r="R774" s="36"/>
      <c r="S774" s="36"/>
      <c r="T774" s="36"/>
    </row>
    <row r="775" spans="1:20" ht="15.75">
      <c r="A775" s="13">
        <v>65105</v>
      </c>
      <c r="B775" s="44">
        <f t="shared" si="3"/>
        <v>31</v>
      </c>
      <c r="C775" s="35">
        <v>122.58</v>
      </c>
      <c r="D775" s="35">
        <v>297.94099999999997</v>
      </c>
      <c r="E775" s="41">
        <v>729.47900000000004</v>
      </c>
      <c r="F775" s="35">
        <v>1150</v>
      </c>
      <c r="G775" s="35">
        <v>100</v>
      </c>
      <c r="H775" s="43">
        <v>600</v>
      </c>
      <c r="I775" s="35">
        <v>695</v>
      </c>
      <c r="J775" s="35">
        <v>50</v>
      </c>
      <c r="K775" s="36"/>
      <c r="L775" s="36"/>
      <c r="M775" s="36"/>
      <c r="N775" s="36"/>
      <c r="O775" s="36"/>
      <c r="P775" s="36"/>
      <c r="Q775" s="36"/>
      <c r="R775" s="36"/>
      <c r="S775" s="36"/>
      <c r="T775" s="36"/>
    </row>
    <row r="776" spans="1:20" ht="15.75">
      <c r="A776" s="13">
        <v>65135</v>
      </c>
      <c r="B776" s="44">
        <f t="shared" si="3"/>
        <v>30</v>
      </c>
      <c r="C776" s="35">
        <v>141.29300000000001</v>
      </c>
      <c r="D776" s="35">
        <v>267.99299999999999</v>
      </c>
      <c r="E776" s="41">
        <v>829.71400000000006</v>
      </c>
      <c r="F776" s="35">
        <v>1239</v>
      </c>
      <c r="G776" s="35">
        <v>100</v>
      </c>
      <c r="H776" s="43">
        <v>600</v>
      </c>
      <c r="I776" s="35">
        <v>695</v>
      </c>
      <c r="J776" s="35">
        <v>50</v>
      </c>
      <c r="K776" s="36"/>
      <c r="L776" s="36"/>
      <c r="M776" s="36"/>
      <c r="N776" s="36"/>
      <c r="O776" s="36"/>
      <c r="P776" s="36"/>
      <c r="Q776" s="36"/>
      <c r="R776" s="36"/>
      <c r="S776" s="36"/>
      <c r="T776" s="36"/>
    </row>
    <row r="777" spans="1:20" ht="15.75">
      <c r="A777" s="13">
        <v>65166</v>
      </c>
      <c r="B777" s="44">
        <f t="shared" si="3"/>
        <v>31</v>
      </c>
      <c r="C777" s="35">
        <v>194.20500000000001</v>
      </c>
      <c r="D777" s="35">
        <v>267.46600000000001</v>
      </c>
      <c r="E777" s="41">
        <v>812.32899999999995</v>
      </c>
      <c r="F777" s="35">
        <v>1274</v>
      </c>
      <c r="G777" s="35">
        <v>75</v>
      </c>
      <c r="H777" s="43">
        <v>600</v>
      </c>
      <c r="I777" s="35">
        <v>695</v>
      </c>
      <c r="J777" s="35">
        <v>50</v>
      </c>
      <c r="K777" s="36"/>
      <c r="L777" s="36"/>
      <c r="M777" s="36"/>
      <c r="N777" s="36"/>
      <c r="O777" s="36"/>
      <c r="P777" s="36"/>
      <c r="Q777" s="36"/>
      <c r="R777" s="36"/>
      <c r="S777" s="36"/>
      <c r="T777" s="36"/>
    </row>
    <row r="778" spans="1:20" ht="15.75">
      <c r="A778" s="13">
        <v>65196</v>
      </c>
      <c r="B778" s="44">
        <f t="shared" si="3"/>
        <v>30</v>
      </c>
      <c r="C778" s="35">
        <v>194.20500000000001</v>
      </c>
      <c r="D778" s="35">
        <v>267.46600000000001</v>
      </c>
      <c r="E778" s="41">
        <v>812.32899999999995</v>
      </c>
      <c r="F778" s="35">
        <v>1274</v>
      </c>
      <c r="G778" s="35">
        <v>50</v>
      </c>
      <c r="H778" s="43">
        <v>600</v>
      </c>
      <c r="I778" s="35">
        <v>695</v>
      </c>
      <c r="J778" s="35">
        <v>50</v>
      </c>
      <c r="K778" s="36"/>
      <c r="L778" s="36"/>
      <c r="M778" s="36"/>
      <c r="N778" s="36"/>
      <c r="O778" s="36"/>
      <c r="P778" s="36"/>
      <c r="Q778" s="36"/>
      <c r="R778" s="36"/>
      <c r="S778" s="36"/>
      <c r="T778" s="36"/>
    </row>
    <row r="779" spans="1:20" ht="15.75">
      <c r="A779" s="13">
        <v>65227</v>
      </c>
      <c r="B779" s="44">
        <f t="shared" si="3"/>
        <v>31</v>
      </c>
      <c r="C779" s="35">
        <v>194.20500000000001</v>
      </c>
      <c r="D779" s="35">
        <v>267.46600000000001</v>
      </c>
      <c r="E779" s="41">
        <v>812.32899999999995</v>
      </c>
      <c r="F779" s="35">
        <v>1274</v>
      </c>
      <c r="G779" s="35">
        <v>50</v>
      </c>
      <c r="H779" s="43">
        <v>600</v>
      </c>
      <c r="I779" s="35">
        <v>695</v>
      </c>
      <c r="J779" s="35">
        <v>0</v>
      </c>
      <c r="K779" s="36"/>
      <c r="L779" s="36"/>
      <c r="M779" s="36"/>
      <c r="N779" s="36"/>
      <c r="O779" s="36"/>
      <c r="P779" s="36"/>
      <c r="Q779" s="36"/>
      <c r="R779" s="36"/>
      <c r="S779" s="36"/>
      <c r="T779" s="36"/>
    </row>
    <row r="780" spans="1:20" ht="15.75">
      <c r="A780" s="13">
        <v>65258</v>
      </c>
      <c r="B780" s="44">
        <f t="shared" si="3"/>
        <v>31</v>
      </c>
      <c r="C780" s="35">
        <v>194.20500000000001</v>
      </c>
      <c r="D780" s="35">
        <v>267.46600000000001</v>
      </c>
      <c r="E780" s="41">
        <v>812.32899999999995</v>
      </c>
      <c r="F780" s="35">
        <v>1274</v>
      </c>
      <c r="G780" s="35">
        <v>50</v>
      </c>
      <c r="H780" s="43">
        <v>600</v>
      </c>
      <c r="I780" s="35">
        <v>695</v>
      </c>
      <c r="J780" s="35">
        <v>0</v>
      </c>
      <c r="K780" s="36"/>
      <c r="L780" s="36"/>
      <c r="M780" s="36"/>
      <c r="N780" s="36"/>
      <c r="O780" s="36"/>
      <c r="P780" s="36"/>
      <c r="Q780" s="36"/>
      <c r="R780" s="36"/>
      <c r="S780" s="36"/>
      <c r="T780" s="36"/>
    </row>
    <row r="781" spans="1:20" ht="15.75">
      <c r="A781" s="13">
        <v>65288</v>
      </c>
      <c r="B781" s="44">
        <f t="shared" si="3"/>
        <v>30</v>
      </c>
      <c r="C781" s="35">
        <v>194.20500000000001</v>
      </c>
      <c r="D781" s="35">
        <v>267.46600000000001</v>
      </c>
      <c r="E781" s="41">
        <v>812.32899999999995</v>
      </c>
      <c r="F781" s="35">
        <v>1274</v>
      </c>
      <c r="G781" s="35">
        <v>50</v>
      </c>
      <c r="H781" s="43">
        <v>600</v>
      </c>
      <c r="I781" s="35">
        <v>695</v>
      </c>
      <c r="J781" s="35">
        <v>0</v>
      </c>
      <c r="K781" s="36"/>
      <c r="L781" s="36"/>
      <c r="M781" s="36"/>
      <c r="N781" s="36"/>
      <c r="O781" s="36"/>
      <c r="P781" s="36"/>
      <c r="Q781" s="36"/>
      <c r="R781" s="36"/>
      <c r="S781" s="36"/>
      <c r="T781" s="36"/>
    </row>
    <row r="782" spans="1:20" ht="15.75">
      <c r="A782" s="13">
        <v>65319</v>
      </c>
      <c r="B782" s="44">
        <f t="shared" si="3"/>
        <v>31</v>
      </c>
      <c r="C782" s="35">
        <v>131.881</v>
      </c>
      <c r="D782" s="35">
        <v>277.16699999999997</v>
      </c>
      <c r="E782" s="41">
        <v>829.952</v>
      </c>
      <c r="F782" s="35">
        <v>1239</v>
      </c>
      <c r="G782" s="35">
        <v>75</v>
      </c>
      <c r="H782" s="43">
        <v>600</v>
      </c>
      <c r="I782" s="35">
        <v>695</v>
      </c>
      <c r="J782" s="35">
        <v>0</v>
      </c>
      <c r="K782" s="36"/>
      <c r="L782" s="36"/>
      <c r="M782" s="36"/>
      <c r="N782" s="36"/>
      <c r="O782" s="36"/>
      <c r="P782" s="36"/>
      <c r="Q782" s="36"/>
      <c r="R782" s="36"/>
      <c r="S782" s="36"/>
      <c r="T782" s="36"/>
    </row>
    <row r="783" spans="1:20" ht="15.75">
      <c r="A783" s="13">
        <v>65349</v>
      </c>
      <c r="B783" s="44">
        <f t="shared" si="3"/>
        <v>30</v>
      </c>
      <c r="C783" s="35">
        <v>122.58</v>
      </c>
      <c r="D783" s="35">
        <v>297.94099999999997</v>
      </c>
      <c r="E783" s="41">
        <v>729.47900000000004</v>
      </c>
      <c r="F783" s="35">
        <v>1150</v>
      </c>
      <c r="G783" s="35">
        <v>100</v>
      </c>
      <c r="H783" s="43">
        <v>600</v>
      </c>
      <c r="I783" s="35">
        <v>695</v>
      </c>
      <c r="J783" s="35">
        <v>50</v>
      </c>
      <c r="K783" s="36"/>
      <c r="L783" s="36"/>
      <c r="M783" s="36"/>
      <c r="N783" s="36"/>
      <c r="O783" s="36"/>
      <c r="P783" s="36"/>
      <c r="Q783" s="36"/>
      <c r="R783" s="36"/>
      <c r="S783" s="36"/>
      <c r="T783" s="36"/>
    </row>
    <row r="784" spans="1:20" ht="15.75">
      <c r="A784" s="13">
        <v>65380</v>
      </c>
      <c r="B784" s="44">
        <f t="shared" si="3"/>
        <v>31</v>
      </c>
      <c r="C784" s="35">
        <v>122.58</v>
      </c>
      <c r="D784" s="35">
        <v>297.94099999999997</v>
      </c>
      <c r="E784" s="41">
        <v>729.47900000000004</v>
      </c>
      <c r="F784" s="35">
        <v>1150</v>
      </c>
      <c r="G784" s="35">
        <v>100</v>
      </c>
      <c r="H784" s="43">
        <v>600</v>
      </c>
      <c r="I784" s="35">
        <v>695</v>
      </c>
      <c r="J784" s="35">
        <v>50</v>
      </c>
      <c r="K784" s="36"/>
      <c r="L784" s="36"/>
      <c r="M784" s="36"/>
      <c r="N784" s="36"/>
      <c r="O784" s="36"/>
      <c r="P784" s="36"/>
      <c r="Q784" s="36"/>
      <c r="R784" s="36"/>
      <c r="S784" s="36"/>
      <c r="T784" s="36"/>
    </row>
    <row r="785" spans="1:20" ht="15.75">
      <c r="A785" s="13">
        <v>65411</v>
      </c>
      <c r="B785" s="44">
        <f t="shared" si="3"/>
        <v>31</v>
      </c>
      <c r="C785" s="35">
        <v>122.58</v>
      </c>
      <c r="D785" s="35">
        <v>297.94099999999997</v>
      </c>
      <c r="E785" s="41">
        <v>729.47900000000004</v>
      </c>
      <c r="F785" s="35">
        <v>1150</v>
      </c>
      <c r="G785" s="35">
        <v>100</v>
      </c>
      <c r="H785" s="43">
        <v>600</v>
      </c>
      <c r="I785" s="35">
        <v>695</v>
      </c>
      <c r="J785" s="35">
        <v>50</v>
      </c>
      <c r="K785" s="36"/>
      <c r="L785" s="36"/>
      <c r="M785" s="36"/>
      <c r="N785" s="36"/>
      <c r="O785" s="36"/>
      <c r="P785" s="36"/>
      <c r="Q785" s="36"/>
      <c r="R785" s="36"/>
      <c r="S785" s="36"/>
      <c r="T785" s="36"/>
    </row>
    <row r="786" spans="1:20" ht="15.75">
      <c r="A786" s="13">
        <v>65439</v>
      </c>
      <c r="B786" s="44">
        <f t="shared" si="3"/>
        <v>28</v>
      </c>
      <c r="C786" s="35">
        <v>122.58</v>
      </c>
      <c r="D786" s="35">
        <v>297.94099999999997</v>
      </c>
      <c r="E786" s="41">
        <v>729.47900000000004</v>
      </c>
      <c r="F786" s="35">
        <v>1150</v>
      </c>
      <c r="G786" s="35">
        <v>100</v>
      </c>
      <c r="H786" s="43">
        <v>600</v>
      </c>
      <c r="I786" s="35">
        <v>695</v>
      </c>
      <c r="J786" s="35">
        <v>50</v>
      </c>
      <c r="K786" s="36"/>
      <c r="L786" s="36"/>
      <c r="M786" s="36"/>
      <c r="N786" s="36"/>
      <c r="O786" s="36"/>
      <c r="P786" s="36"/>
      <c r="Q786" s="36"/>
      <c r="R786" s="36"/>
      <c r="S786" s="36"/>
      <c r="T786" s="36"/>
    </row>
    <row r="787" spans="1:20" ht="15.75">
      <c r="A787" s="13">
        <v>65470</v>
      </c>
      <c r="B787" s="44">
        <f t="shared" si="3"/>
        <v>31</v>
      </c>
      <c r="C787" s="35">
        <v>122.58</v>
      </c>
      <c r="D787" s="35">
        <v>297.94099999999997</v>
      </c>
      <c r="E787" s="41">
        <v>729.47900000000004</v>
      </c>
      <c r="F787" s="35">
        <v>1150</v>
      </c>
      <c r="G787" s="35">
        <v>100</v>
      </c>
      <c r="H787" s="43">
        <v>600</v>
      </c>
      <c r="I787" s="35">
        <v>695</v>
      </c>
      <c r="J787" s="35">
        <v>50</v>
      </c>
      <c r="K787" s="36"/>
      <c r="L787" s="36"/>
      <c r="M787" s="36"/>
      <c r="N787" s="36"/>
      <c r="O787" s="36"/>
      <c r="P787" s="36"/>
      <c r="Q787" s="36"/>
      <c r="R787" s="36"/>
      <c r="S787" s="36"/>
      <c r="T787" s="36"/>
    </row>
    <row r="788" spans="1:20" ht="15.75">
      <c r="A788" s="13">
        <v>65500</v>
      </c>
      <c r="B788" s="44">
        <f t="shared" si="3"/>
        <v>30</v>
      </c>
      <c r="C788" s="35">
        <v>141.29300000000001</v>
      </c>
      <c r="D788" s="35">
        <v>267.99299999999999</v>
      </c>
      <c r="E788" s="41">
        <v>829.71400000000006</v>
      </c>
      <c r="F788" s="35">
        <v>1239</v>
      </c>
      <c r="G788" s="35">
        <v>100</v>
      </c>
      <c r="H788" s="43">
        <v>600</v>
      </c>
      <c r="I788" s="35">
        <v>695</v>
      </c>
      <c r="J788" s="35">
        <v>50</v>
      </c>
      <c r="K788" s="36"/>
      <c r="L788" s="36"/>
      <c r="M788" s="36"/>
      <c r="N788" s="36"/>
      <c r="O788" s="36"/>
      <c r="P788" s="36"/>
      <c r="Q788" s="36"/>
      <c r="R788" s="36"/>
      <c r="S788" s="36"/>
      <c r="T788" s="36"/>
    </row>
    <row r="789" spans="1:20" ht="15.75">
      <c r="A789" s="13">
        <v>65531</v>
      </c>
      <c r="B789" s="44">
        <f t="shared" si="3"/>
        <v>31</v>
      </c>
      <c r="C789" s="35">
        <v>194.20500000000001</v>
      </c>
      <c r="D789" s="35">
        <v>267.46600000000001</v>
      </c>
      <c r="E789" s="41">
        <v>812.32899999999995</v>
      </c>
      <c r="F789" s="35">
        <v>1274</v>
      </c>
      <c r="G789" s="35">
        <v>75</v>
      </c>
      <c r="H789" s="43">
        <v>600</v>
      </c>
      <c r="I789" s="35">
        <v>695</v>
      </c>
      <c r="J789" s="35">
        <v>50</v>
      </c>
      <c r="K789" s="36"/>
      <c r="L789" s="36"/>
      <c r="M789" s="36"/>
      <c r="N789" s="36"/>
      <c r="O789" s="36"/>
      <c r="P789" s="36"/>
      <c r="Q789" s="36"/>
      <c r="R789" s="36"/>
      <c r="S789" s="36"/>
      <c r="T789" s="36"/>
    </row>
    <row r="790" spans="1:20" ht="15.75">
      <c r="A790" s="13">
        <v>65561</v>
      </c>
      <c r="B790" s="44">
        <f t="shared" si="3"/>
        <v>30</v>
      </c>
      <c r="C790" s="35">
        <v>194.20500000000001</v>
      </c>
      <c r="D790" s="35">
        <v>267.46600000000001</v>
      </c>
      <c r="E790" s="41">
        <v>812.32899999999995</v>
      </c>
      <c r="F790" s="35">
        <v>1274</v>
      </c>
      <c r="G790" s="35">
        <v>50</v>
      </c>
      <c r="H790" s="43">
        <v>600</v>
      </c>
      <c r="I790" s="35">
        <v>695</v>
      </c>
      <c r="J790" s="35">
        <v>50</v>
      </c>
      <c r="K790" s="36"/>
      <c r="L790" s="36"/>
      <c r="M790" s="36"/>
      <c r="N790" s="36"/>
      <c r="O790" s="36"/>
      <c r="P790" s="36"/>
      <c r="Q790" s="36"/>
      <c r="R790" s="36"/>
      <c r="S790" s="36"/>
      <c r="T790" s="36"/>
    </row>
    <row r="791" spans="1:20" ht="15.75">
      <c r="A791" s="13">
        <v>65592</v>
      </c>
      <c r="B791" s="44">
        <f t="shared" si="3"/>
        <v>31</v>
      </c>
      <c r="C791" s="35">
        <v>194.20500000000001</v>
      </c>
      <c r="D791" s="35">
        <v>267.46600000000001</v>
      </c>
      <c r="E791" s="41">
        <v>812.32899999999995</v>
      </c>
      <c r="F791" s="35">
        <v>1274</v>
      </c>
      <c r="G791" s="35">
        <v>50</v>
      </c>
      <c r="H791" s="43">
        <v>600</v>
      </c>
      <c r="I791" s="35">
        <v>695</v>
      </c>
      <c r="J791" s="35">
        <v>0</v>
      </c>
      <c r="K791" s="36"/>
      <c r="L791" s="36"/>
      <c r="M791" s="36"/>
      <c r="N791" s="36"/>
      <c r="O791" s="36"/>
      <c r="P791" s="36"/>
      <c r="Q791" s="36"/>
      <c r="R791" s="36"/>
      <c r="S791" s="36"/>
      <c r="T791" s="36"/>
    </row>
    <row r="792" spans="1:20" ht="15.75">
      <c r="A792" s="13">
        <v>65623</v>
      </c>
      <c r="B792" s="44">
        <f t="shared" si="3"/>
        <v>31</v>
      </c>
      <c r="C792" s="35">
        <v>194.20500000000001</v>
      </c>
      <c r="D792" s="35">
        <v>267.46600000000001</v>
      </c>
      <c r="E792" s="41">
        <v>812.32899999999995</v>
      </c>
      <c r="F792" s="35">
        <v>1274</v>
      </c>
      <c r="G792" s="35">
        <v>50</v>
      </c>
      <c r="H792" s="43">
        <v>600</v>
      </c>
      <c r="I792" s="35">
        <v>695</v>
      </c>
      <c r="J792" s="35">
        <v>0</v>
      </c>
      <c r="K792" s="36"/>
      <c r="L792" s="36"/>
      <c r="M792" s="36"/>
      <c r="N792" s="36"/>
      <c r="O792" s="36"/>
      <c r="P792" s="36"/>
      <c r="Q792" s="36"/>
      <c r="R792" s="36"/>
      <c r="S792" s="36"/>
      <c r="T792" s="36"/>
    </row>
    <row r="793" spans="1:20" ht="15.75">
      <c r="A793" s="13">
        <v>65653</v>
      </c>
      <c r="B793" s="44">
        <f t="shared" si="3"/>
        <v>30</v>
      </c>
      <c r="C793" s="35">
        <v>194.20500000000001</v>
      </c>
      <c r="D793" s="35">
        <v>267.46600000000001</v>
      </c>
      <c r="E793" s="41">
        <v>812.32899999999995</v>
      </c>
      <c r="F793" s="35">
        <v>1274</v>
      </c>
      <c r="G793" s="35">
        <v>50</v>
      </c>
      <c r="H793" s="43">
        <v>600</v>
      </c>
      <c r="I793" s="35">
        <v>695</v>
      </c>
      <c r="J793" s="35">
        <v>0</v>
      </c>
      <c r="K793" s="36"/>
      <c r="L793" s="36"/>
      <c r="M793" s="36"/>
      <c r="N793" s="36"/>
      <c r="O793" s="36"/>
      <c r="P793" s="36"/>
      <c r="Q793" s="36"/>
      <c r="R793" s="36"/>
      <c r="S793" s="36"/>
      <c r="T793" s="36"/>
    </row>
    <row r="794" spans="1:20" ht="15.75">
      <c r="A794" s="13">
        <v>65684</v>
      </c>
      <c r="B794" s="44">
        <f t="shared" si="3"/>
        <v>31</v>
      </c>
      <c r="C794" s="35">
        <v>131.881</v>
      </c>
      <c r="D794" s="35">
        <v>277.16699999999997</v>
      </c>
      <c r="E794" s="41">
        <v>829.952</v>
      </c>
      <c r="F794" s="35">
        <v>1239</v>
      </c>
      <c r="G794" s="35">
        <v>75</v>
      </c>
      <c r="H794" s="43">
        <v>600</v>
      </c>
      <c r="I794" s="35">
        <v>695</v>
      </c>
      <c r="J794" s="35">
        <v>0</v>
      </c>
      <c r="K794" s="36"/>
      <c r="L794" s="36"/>
      <c r="M794" s="36"/>
      <c r="N794" s="36"/>
      <c r="O794" s="36"/>
      <c r="P794" s="36"/>
      <c r="Q794" s="36"/>
      <c r="R794" s="36"/>
      <c r="S794" s="36"/>
      <c r="T794" s="36"/>
    </row>
    <row r="795" spans="1:20" ht="15.75">
      <c r="A795" s="13">
        <v>65714</v>
      </c>
      <c r="B795" s="44">
        <f t="shared" si="3"/>
        <v>30</v>
      </c>
      <c r="C795" s="35">
        <v>122.58</v>
      </c>
      <c r="D795" s="35">
        <v>297.94099999999997</v>
      </c>
      <c r="E795" s="41">
        <v>729.47900000000004</v>
      </c>
      <c r="F795" s="35">
        <v>1150</v>
      </c>
      <c r="G795" s="35">
        <v>100</v>
      </c>
      <c r="H795" s="43">
        <v>600</v>
      </c>
      <c r="I795" s="35">
        <v>695</v>
      </c>
      <c r="J795" s="35">
        <v>50</v>
      </c>
      <c r="K795" s="36"/>
      <c r="L795" s="36"/>
      <c r="M795" s="36"/>
      <c r="N795" s="36"/>
      <c r="O795" s="36"/>
      <c r="P795" s="36"/>
      <c r="Q795" s="36"/>
      <c r="R795" s="36"/>
      <c r="S795" s="36"/>
      <c r="T795" s="36"/>
    </row>
    <row r="796" spans="1:20" ht="15.75">
      <c r="A796" s="13">
        <v>65745</v>
      </c>
      <c r="B796" s="44">
        <f t="shared" si="3"/>
        <v>31</v>
      </c>
      <c r="C796" s="35">
        <v>122.58</v>
      </c>
      <c r="D796" s="35">
        <v>297.94099999999997</v>
      </c>
      <c r="E796" s="41">
        <v>729.47900000000004</v>
      </c>
      <c r="F796" s="35">
        <v>1150</v>
      </c>
      <c r="G796" s="35">
        <v>100</v>
      </c>
      <c r="H796" s="43">
        <v>600</v>
      </c>
      <c r="I796" s="35">
        <v>695</v>
      </c>
      <c r="J796" s="35">
        <v>50</v>
      </c>
      <c r="K796" s="36"/>
      <c r="L796" s="36"/>
      <c r="M796" s="36"/>
      <c r="N796" s="36"/>
      <c r="O796" s="36"/>
      <c r="P796" s="36"/>
      <c r="Q796" s="36"/>
      <c r="R796" s="36"/>
      <c r="S796" s="36"/>
      <c r="T796" s="36"/>
    </row>
    <row r="797" spans="1:20" ht="15.75">
      <c r="A797" s="13">
        <v>65776</v>
      </c>
      <c r="B797" s="44">
        <f t="shared" si="3"/>
        <v>31</v>
      </c>
      <c r="C797" s="35">
        <v>122.58</v>
      </c>
      <c r="D797" s="35">
        <v>297.94099999999997</v>
      </c>
      <c r="E797" s="41">
        <v>729.47900000000004</v>
      </c>
      <c r="F797" s="35">
        <v>1150</v>
      </c>
      <c r="G797" s="35">
        <v>100</v>
      </c>
      <c r="H797" s="43">
        <v>600</v>
      </c>
      <c r="I797" s="35">
        <v>695</v>
      </c>
      <c r="J797" s="35">
        <v>50</v>
      </c>
      <c r="K797" s="36"/>
      <c r="L797" s="36"/>
      <c r="M797" s="36"/>
      <c r="N797" s="36"/>
      <c r="O797" s="36"/>
      <c r="P797" s="36"/>
      <c r="Q797" s="36"/>
      <c r="R797" s="36"/>
      <c r="S797" s="36"/>
      <c r="T797" s="36"/>
    </row>
    <row r="798" spans="1:20" ht="15.75">
      <c r="A798" s="13">
        <v>65805</v>
      </c>
      <c r="B798" s="44">
        <f t="shared" si="3"/>
        <v>29</v>
      </c>
      <c r="C798" s="35">
        <v>122.58</v>
      </c>
      <c r="D798" s="35">
        <v>297.94099999999997</v>
      </c>
      <c r="E798" s="41">
        <v>729.47900000000004</v>
      </c>
      <c r="F798" s="35">
        <v>1150</v>
      </c>
      <c r="G798" s="35">
        <v>100</v>
      </c>
      <c r="H798" s="43">
        <v>600</v>
      </c>
      <c r="I798" s="35">
        <v>695</v>
      </c>
      <c r="J798" s="35">
        <v>50</v>
      </c>
      <c r="K798" s="36"/>
      <c r="L798" s="36"/>
      <c r="M798" s="36"/>
      <c r="N798" s="36"/>
      <c r="O798" s="36"/>
      <c r="P798" s="36"/>
      <c r="Q798" s="36"/>
      <c r="R798" s="36"/>
      <c r="S798" s="36"/>
      <c r="T798" s="36"/>
    </row>
    <row r="799" spans="1:20" ht="15.75">
      <c r="A799" s="13">
        <v>65836</v>
      </c>
      <c r="B799" s="44">
        <f t="shared" si="3"/>
        <v>31</v>
      </c>
      <c r="C799" s="35">
        <v>122.58</v>
      </c>
      <c r="D799" s="35">
        <v>297.94099999999997</v>
      </c>
      <c r="E799" s="41">
        <v>729.47900000000004</v>
      </c>
      <c r="F799" s="35">
        <v>1150</v>
      </c>
      <c r="G799" s="35">
        <v>100</v>
      </c>
      <c r="H799" s="43">
        <v>600</v>
      </c>
      <c r="I799" s="35">
        <v>695</v>
      </c>
      <c r="J799" s="35">
        <v>50</v>
      </c>
      <c r="K799" s="36"/>
      <c r="L799" s="36"/>
      <c r="M799" s="36"/>
      <c r="N799" s="36"/>
      <c r="O799" s="36"/>
      <c r="P799" s="36"/>
      <c r="Q799" s="36"/>
      <c r="R799" s="36"/>
      <c r="S799" s="36"/>
      <c r="T799" s="36"/>
    </row>
    <row r="800" spans="1:20" ht="15.75">
      <c r="A800" s="13">
        <v>65866</v>
      </c>
      <c r="B800" s="44">
        <f t="shared" si="3"/>
        <v>30</v>
      </c>
      <c r="C800" s="35">
        <v>141.29300000000001</v>
      </c>
      <c r="D800" s="35">
        <v>267.99299999999999</v>
      </c>
      <c r="E800" s="41">
        <v>829.71400000000006</v>
      </c>
      <c r="F800" s="35">
        <v>1239</v>
      </c>
      <c r="G800" s="35">
        <v>100</v>
      </c>
      <c r="H800" s="43">
        <v>600</v>
      </c>
      <c r="I800" s="35">
        <v>695</v>
      </c>
      <c r="J800" s="35">
        <v>50</v>
      </c>
      <c r="K800" s="36"/>
      <c r="L800" s="36"/>
      <c r="M800" s="36"/>
      <c r="N800" s="36"/>
      <c r="O800" s="36"/>
      <c r="P800" s="36"/>
      <c r="Q800" s="36"/>
      <c r="R800" s="36"/>
      <c r="S800" s="36"/>
      <c r="T800" s="36"/>
    </row>
    <row r="801" spans="1:20" ht="15.75">
      <c r="A801" s="13">
        <v>65897</v>
      </c>
      <c r="B801" s="44">
        <f t="shared" si="3"/>
        <v>31</v>
      </c>
      <c r="C801" s="35">
        <v>194.20500000000001</v>
      </c>
      <c r="D801" s="35">
        <v>267.46600000000001</v>
      </c>
      <c r="E801" s="41">
        <v>812.32899999999995</v>
      </c>
      <c r="F801" s="35">
        <v>1274</v>
      </c>
      <c r="G801" s="35">
        <v>75</v>
      </c>
      <c r="H801" s="43">
        <v>600</v>
      </c>
      <c r="I801" s="35">
        <v>695</v>
      </c>
      <c r="J801" s="35">
        <v>50</v>
      </c>
      <c r="K801" s="36"/>
      <c r="L801" s="36"/>
      <c r="M801" s="36"/>
      <c r="N801" s="36"/>
      <c r="O801" s="36"/>
      <c r="P801" s="36"/>
      <c r="Q801" s="36"/>
      <c r="R801" s="36"/>
      <c r="S801" s="36"/>
      <c r="T801" s="36"/>
    </row>
    <row r="802" spans="1:20" ht="15.75">
      <c r="A802" s="13">
        <v>65927</v>
      </c>
      <c r="B802" s="44">
        <f t="shared" si="3"/>
        <v>30</v>
      </c>
      <c r="C802" s="35">
        <v>194.20500000000001</v>
      </c>
      <c r="D802" s="35">
        <v>267.46600000000001</v>
      </c>
      <c r="E802" s="41">
        <v>812.32899999999995</v>
      </c>
      <c r="F802" s="35">
        <v>1274</v>
      </c>
      <c r="G802" s="35">
        <v>50</v>
      </c>
      <c r="H802" s="43">
        <v>600</v>
      </c>
      <c r="I802" s="35">
        <v>695</v>
      </c>
      <c r="J802" s="35">
        <v>50</v>
      </c>
      <c r="K802" s="36"/>
      <c r="L802" s="36"/>
      <c r="M802" s="36"/>
      <c r="N802" s="36"/>
      <c r="O802" s="36"/>
      <c r="P802" s="36"/>
      <c r="Q802" s="36"/>
      <c r="R802" s="36"/>
      <c r="S802" s="36"/>
      <c r="T802" s="36"/>
    </row>
    <row r="803" spans="1:20" ht="15.75">
      <c r="A803" s="13">
        <v>65958</v>
      </c>
      <c r="B803" s="44">
        <f t="shared" si="3"/>
        <v>31</v>
      </c>
      <c r="C803" s="35">
        <v>194.20500000000001</v>
      </c>
      <c r="D803" s="35">
        <v>267.46600000000001</v>
      </c>
      <c r="E803" s="41">
        <v>812.32899999999995</v>
      </c>
      <c r="F803" s="35">
        <v>1274</v>
      </c>
      <c r="G803" s="35">
        <v>50</v>
      </c>
      <c r="H803" s="43">
        <v>600</v>
      </c>
      <c r="I803" s="35">
        <v>695</v>
      </c>
      <c r="J803" s="35">
        <v>0</v>
      </c>
      <c r="K803" s="36"/>
      <c r="L803" s="36"/>
      <c r="M803" s="36"/>
      <c r="N803" s="36"/>
      <c r="O803" s="36"/>
      <c r="P803" s="36"/>
      <c r="Q803" s="36"/>
      <c r="R803" s="36"/>
      <c r="S803" s="36"/>
      <c r="T803" s="36"/>
    </row>
    <row r="804" spans="1:20" ht="15.75">
      <c r="A804" s="13">
        <v>65989</v>
      </c>
      <c r="B804" s="44">
        <f t="shared" si="3"/>
        <v>31</v>
      </c>
      <c r="C804" s="35">
        <v>194.20500000000001</v>
      </c>
      <c r="D804" s="35">
        <v>267.46600000000001</v>
      </c>
      <c r="E804" s="41">
        <v>812.32899999999995</v>
      </c>
      <c r="F804" s="35">
        <v>1274</v>
      </c>
      <c r="G804" s="35">
        <v>50</v>
      </c>
      <c r="H804" s="43">
        <v>600</v>
      </c>
      <c r="I804" s="35">
        <v>695</v>
      </c>
      <c r="J804" s="35">
        <v>0</v>
      </c>
      <c r="K804" s="36"/>
      <c r="L804" s="36"/>
      <c r="M804" s="36"/>
      <c r="N804" s="36"/>
      <c r="O804" s="36"/>
      <c r="P804" s="36"/>
      <c r="Q804" s="36"/>
      <c r="R804" s="36"/>
      <c r="S804" s="36"/>
      <c r="T804" s="36"/>
    </row>
    <row r="805" spans="1:20" ht="15.75">
      <c r="A805" s="13">
        <v>66019</v>
      </c>
      <c r="B805" s="44">
        <f t="shared" si="3"/>
        <v>30</v>
      </c>
      <c r="C805" s="35">
        <v>194.20500000000001</v>
      </c>
      <c r="D805" s="35">
        <v>267.46600000000001</v>
      </c>
      <c r="E805" s="41">
        <v>812.32899999999995</v>
      </c>
      <c r="F805" s="35">
        <v>1274</v>
      </c>
      <c r="G805" s="35">
        <v>50</v>
      </c>
      <c r="H805" s="43">
        <v>600</v>
      </c>
      <c r="I805" s="35">
        <v>695</v>
      </c>
      <c r="J805" s="35">
        <v>0</v>
      </c>
      <c r="K805" s="36"/>
      <c r="L805" s="36"/>
      <c r="M805" s="36"/>
      <c r="N805" s="36"/>
      <c r="O805" s="36"/>
      <c r="P805" s="36"/>
      <c r="Q805" s="36"/>
      <c r="R805" s="36"/>
      <c r="S805" s="36"/>
      <c r="T805" s="36"/>
    </row>
    <row r="806" spans="1:20" ht="15.75">
      <c r="A806" s="13">
        <v>66050</v>
      </c>
      <c r="B806" s="44">
        <f t="shared" si="3"/>
        <v>31</v>
      </c>
      <c r="C806" s="35">
        <v>131.881</v>
      </c>
      <c r="D806" s="35">
        <v>277.16699999999997</v>
      </c>
      <c r="E806" s="41">
        <v>829.952</v>
      </c>
      <c r="F806" s="35">
        <v>1239</v>
      </c>
      <c r="G806" s="35">
        <v>75</v>
      </c>
      <c r="H806" s="43">
        <v>600</v>
      </c>
      <c r="I806" s="35">
        <v>695</v>
      </c>
      <c r="J806" s="35">
        <v>0</v>
      </c>
      <c r="K806" s="36"/>
      <c r="L806" s="36"/>
      <c r="M806" s="36"/>
      <c r="N806" s="36"/>
      <c r="O806" s="36"/>
      <c r="P806" s="36"/>
      <c r="Q806" s="36"/>
      <c r="R806" s="36"/>
      <c r="S806" s="36"/>
      <c r="T806" s="36"/>
    </row>
    <row r="807" spans="1:20" ht="15.75">
      <c r="A807" s="13">
        <v>66080</v>
      </c>
      <c r="B807" s="44">
        <f t="shared" si="3"/>
        <v>30</v>
      </c>
      <c r="C807" s="35">
        <v>122.58</v>
      </c>
      <c r="D807" s="35">
        <v>297.94099999999997</v>
      </c>
      <c r="E807" s="41">
        <v>729.47900000000004</v>
      </c>
      <c r="F807" s="35">
        <v>1150</v>
      </c>
      <c r="G807" s="35">
        <v>100</v>
      </c>
      <c r="H807" s="43">
        <v>600</v>
      </c>
      <c r="I807" s="35">
        <v>695</v>
      </c>
      <c r="J807" s="35">
        <v>50</v>
      </c>
      <c r="K807" s="36"/>
      <c r="L807" s="36"/>
      <c r="M807" s="36"/>
      <c r="N807" s="36"/>
      <c r="O807" s="36"/>
      <c r="P807" s="36"/>
      <c r="Q807" s="36"/>
      <c r="R807" s="36"/>
      <c r="S807" s="36"/>
      <c r="T807" s="36"/>
    </row>
    <row r="808" spans="1:20" ht="15.75">
      <c r="A808" s="13">
        <v>66111</v>
      </c>
      <c r="B808" s="44">
        <f t="shared" si="3"/>
        <v>31</v>
      </c>
      <c r="C808" s="35">
        <v>122.58</v>
      </c>
      <c r="D808" s="35">
        <v>297.94099999999997</v>
      </c>
      <c r="E808" s="41">
        <v>729.47900000000004</v>
      </c>
      <c r="F808" s="35">
        <v>1150</v>
      </c>
      <c r="G808" s="35">
        <v>100</v>
      </c>
      <c r="H808" s="43">
        <v>600</v>
      </c>
      <c r="I808" s="35">
        <v>695</v>
      </c>
      <c r="J808" s="35">
        <v>50</v>
      </c>
      <c r="K808" s="36"/>
      <c r="L808" s="36"/>
      <c r="M808" s="36"/>
      <c r="N808" s="36"/>
      <c r="O808" s="36"/>
      <c r="P808" s="36"/>
      <c r="Q808" s="36"/>
      <c r="R808" s="36"/>
      <c r="S808" s="36"/>
      <c r="T808" s="36"/>
    </row>
    <row r="809" spans="1:20" ht="15.75">
      <c r="A809" s="13">
        <v>66142</v>
      </c>
      <c r="B809" s="44">
        <f t="shared" si="3"/>
        <v>31</v>
      </c>
      <c r="C809" s="35">
        <v>122.58</v>
      </c>
      <c r="D809" s="35">
        <v>297.94099999999997</v>
      </c>
      <c r="E809" s="41">
        <v>729.47900000000004</v>
      </c>
      <c r="F809" s="35">
        <v>1150</v>
      </c>
      <c r="G809" s="35">
        <v>100</v>
      </c>
      <c r="H809" s="43">
        <v>600</v>
      </c>
      <c r="I809" s="35">
        <v>695</v>
      </c>
      <c r="J809" s="35">
        <v>50</v>
      </c>
      <c r="K809" s="36"/>
      <c r="L809" s="36"/>
      <c r="M809" s="36"/>
      <c r="N809" s="36"/>
      <c r="O809" s="36"/>
      <c r="P809" s="36"/>
      <c r="Q809" s="36"/>
      <c r="R809" s="36"/>
      <c r="S809" s="36"/>
      <c r="T809" s="36"/>
    </row>
    <row r="810" spans="1:20" ht="15.75">
      <c r="A810" s="13">
        <v>66170</v>
      </c>
      <c r="B810" s="44">
        <f t="shared" si="3"/>
        <v>28</v>
      </c>
      <c r="C810" s="35">
        <v>122.58</v>
      </c>
      <c r="D810" s="35">
        <v>297.94099999999997</v>
      </c>
      <c r="E810" s="41">
        <v>729.47900000000004</v>
      </c>
      <c r="F810" s="35">
        <v>1150</v>
      </c>
      <c r="G810" s="35">
        <v>100</v>
      </c>
      <c r="H810" s="43">
        <v>600</v>
      </c>
      <c r="I810" s="35">
        <v>695</v>
      </c>
      <c r="J810" s="35">
        <v>50</v>
      </c>
      <c r="K810" s="36"/>
      <c r="L810" s="36"/>
      <c r="M810" s="36"/>
      <c r="N810" s="36"/>
      <c r="O810" s="36"/>
      <c r="P810" s="36"/>
      <c r="Q810" s="36"/>
      <c r="R810" s="36"/>
      <c r="S810" s="36"/>
      <c r="T810" s="36"/>
    </row>
    <row r="811" spans="1:20" ht="15.75">
      <c r="A811" s="13">
        <v>66201</v>
      </c>
      <c r="B811" s="44">
        <f t="shared" si="3"/>
        <v>31</v>
      </c>
      <c r="C811" s="35">
        <v>122.58</v>
      </c>
      <c r="D811" s="35">
        <v>297.94099999999997</v>
      </c>
      <c r="E811" s="41">
        <v>729.47900000000004</v>
      </c>
      <c r="F811" s="35">
        <v>1150</v>
      </c>
      <c r="G811" s="35">
        <v>100</v>
      </c>
      <c r="H811" s="43">
        <v>600</v>
      </c>
      <c r="I811" s="35">
        <v>695</v>
      </c>
      <c r="J811" s="35">
        <v>50</v>
      </c>
      <c r="K811" s="36"/>
      <c r="L811" s="36"/>
      <c r="M811" s="36"/>
      <c r="N811" s="36"/>
      <c r="O811" s="36"/>
      <c r="P811" s="36"/>
      <c r="Q811" s="36"/>
      <c r="R811" s="36"/>
      <c r="S811" s="36"/>
      <c r="T811" s="36"/>
    </row>
    <row r="812" spans="1:20" ht="15.75">
      <c r="A812" s="13">
        <v>66231</v>
      </c>
      <c r="B812" s="44">
        <f t="shared" si="3"/>
        <v>30</v>
      </c>
      <c r="C812" s="35">
        <v>141.29300000000001</v>
      </c>
      <c r="D812" s="35">
        <v>267.99299999999999</v>
      </c>
      <c r="E812" s="41">
        <v>829.71400000000006</v>
      </c>
      <c r="F812" s="35">
        <v>1239</v>
      </c>
      <c r="G812" s="35">
        <v>100</v>
      </c>
      <c r="H812" s="43">
        <v>600</v>
      </c>
      <c r="I812" s="35">
        <v>695</v>
      </c>
      <c r="J812" s="35">
        <v>50</v>
      </c>
      <c r="K812" s="36"/>
      <c r="L812" s="36"/>
      <c r="M812" s="36"/>
      <c r="N812" s="36"/>
      <c r="O812" s="36"/>
      <c r="P812" s="36"/>
      <c r="Q812" s="36"/>
      <c r="R812" s="36"/>
      <c r="S812" s="36"/>
      <c r="T812" s="36"/>
    </row>
    <row r="813" spans="1:20" ht="15.75">
      <c r="A813" s="13">
        <v>66262</v>
      </c>
      <c r="B813" s="44">
        <f t="shared" si="3"/>
        <v>31</v>
      </c>
      <c r="C813" s="35">
        <v>194.20500000000001</v>
      </c>
      <c r="D813" s="35">
        <v>267.46600000000001</v>
      </c>
      <c r="E813" s="41">
        <v>812.32899999999995</v>
      </c>
      <c r="F813" s="35">
        <v>1274</v>
      </c>
      <c r="G813" s="35">
        <v>75</v>
      </c>
      <c r="H813" s="43">
        <v>600</v>
      </c>
      <c r="I813" s="35">
        <v>695</v>
      </c>
      <c r="J813" s="35">
        <v>50</v>
      </c>
      <c r="K813" s="36"/>
      <c r="L813" s="36"/>
      <c r="M813" s="36"/>
      <c r="N813" s="36"/>
      <c r="O813" s="36"/>
      <c r="P813" s="36"/>
      <c r="Q813" s="36"/>
      <c r="R813" s="36"/>
      <c r="S813" s="36"/>
      <c r="T813" s="36"/>
    </row>
    <row r="814" spans="1:20" ht="15.75">
      <c r="A814" s="13">
        <v>66292</v>
      </c>
      <c r="B814" s="44">
        <f t="shared" si="3"/>
        <v>30</v>
      </c>
      <c r="C814" s="35">
        <v>194.20500000000001</v>
      </c>
      <c r="D814" s="35">
        <v>267.46600000000001</v>
      </c>
      <c r="E814" s="41">
        <v>812.32899999999995</v>
      </c>
      <c r="F814" s="35">
        <v>1274</v>
      </c>
      <c r="G814" s="35">
        <v>50</v>
      </c>
      <c r="H814" s="43">
        <v>600</v>
      </c>
      <c r="I814" s="35">
        <v>695</v>
      </c>
      <c r="J814" s="35">
        <v>50</v>
      </c>
      <c r="K814" s="36"/>
      <c r="L814" s="36"/>
      <c r="M814" s="36"/>
      <c r="N814" s="36"/>
      <c r="O814" s="36"/>
      <c r="P814" s="36"/>
      <c r="Q814" s="36"/>
      <c r="R814" s="36"/>
      <c r="S814" s="36"/>
      <c r="T814" s="36"/>
    </row>
    <row r="815" spans="1:20" ht="15.75">
      <c r="A815" s="13">
        <v>66323</v>
      </c>
      <c r="B815" s="44">
        <f t="shared" si="3"/>
        <v>31</v>
      </c>
      <c r="C815" s="35">
        <v>194.20500000000001</v>
      </c>
      <c r="D815" s="35">
        <v>267.46600000000001</v>
      </c>
      <c r="E815" s="41">
        <v>812.32899999999995</v>
      </c>
      <c r="F815" s="35">
        <v>1274</v>
      </c>
      <c r="G815" s="35">
        <v>50</v>
      </c>
      <c r="H815" s="43">
        <v>600</v>
      </c>
      <c r="I815" s="35">
        <v>695</v>
      </c>
      <c r="J815" s="35">
        <v>0</v>
      </c>
      <c r="K815" s="36"/>
      <c r="L815" s="36"/>
      <c r="M815" s="36"/>
      <c r="N815" s="36"/>
      <c r="O815" s="36"/>
      <c r="P815" s="36"/>
      <c r="Q815" s="36"/>
      <c r="R815" s="36"/>
      <c r="S815" s="36"/>
      <c r="T815" s="36"/>
    </row>
    <row r="816" spans="1:20" ht="15.75">
      <c r="A816" s="13">
        <v>66354</v>
      </c>
      <c r="B816" s="44">
        <f t="shared" si="3"/>
        <v>31</v>
      </c>
      <c r="C816" s="35">
        <v>194.20500000000001</v>
      </c>
      <c r="D816" s="35">
        <v>267.46600000000001</v>
      </c>
      <c r="E816" s="41">
        <v>812.32899999999995</v>
      </c>
      <c r="F816" s="35">
        <v>1274</v>
      </c>
      <c r="G816" s="35">
        <v>50</v>
      </c>
      <c r="H816" s="43">
        <v>600</v>
      </c>
      <c r="I816" s="35">
        <v>695</v>
      </c>
      <c r="J816" s="35">
        <v>0</v>
      </c>
      <c r="K816" s="36"/>
      <c r="L816" s="36"/>
      <c r="M816" s="36"/>
      <c r="N816" s="36"/>
      <c r="O816" s="36"/>
      <c r="P816" s="36"/>
      <c r="Q816" s="36"/>
      <c r="R816" s="36"/>
      <c r="S816" s="36"/>
      <c r="T816" s="36"/>
    </row>
    <row r="817" spans="1:20" ht="15.75">
      <c r="A817" s="13">
        <v>66384</v>
      </c>
      <c r="B817" s="44">
        <f t="shared" si="3"/>
        <v>30</v>
      </c>
      <c r="C817" s="35">
        <v>194.20500000000001</v>
      </c>
      <c r="D817" s="35">
        <v>267.46600000000001</v>
      </c>
      <c r="E817" s="41">
        <v>812.32899999999995</v>
      </c>
      <c r="F817" s="35">
        <v>1274</v>
      </c>
      <c r="G817" s="35">
        <v>50</v>
      </c>
      <c r="H817" s="43">
        <v>600</v>
      </c>
      <c r="I817" s="35">
        <v>695</v>
      </c>
      <c r="J817" s="35">
        <v>0</v>
      </c>
      <c r="K817" s="36"/>
      <c r="L817" s="36"/>
      <c r="M817" s="36"/>
      <c r="N817" s="36"/>
      <c r="O817" s="36"/>
      <c r="P817" s="36"/>
      <c r="Q817" s="36"/>
      <c r="R817" s="36"/>
      <c r="S817" s="36"/>
      <c r="T817" s="36"/>
    </row>
    <row r="818" spans="1:20" ht="15.75">
      <c r="A818" s="13">
        <v>66415</v>
      </c>
      <c r="B818" s="44">
        <f t="shared" si="3"/>
        <v>31</v>
      </c>
      <c r="C818" s="35">
        <v>131.881</v>
      </c>
      <c r="D818" s="35">
        <v>277.16699999999997</v>
      </c>
      <c r="E818" s="41">
        <v>829.952</v>
      </c>
      <c r="F818" s="35">
        <v>1239</v>
      </c>
      <c r="G818" s="35">
        <v>75</v>
      </c>
      <c r="H818" s="43">
        <v>600</v>
      </c>
      <c r="I818" s="35">
        <v>695</v>
      </c>
      <c r="J818" s="35">
        <v>0</v>
      </c>
      <c r="K818" s="36"/>
      <c r="L818" s="36"/>
      <c r="M818" s="36"/>
      <c r="N818" s="36"/>
      <c r="O818" s="36"/>
      <c r="P818" s="36"/>
      <c r="Q818" s="36"/>
      <c r="R818" s="36"/>
      <c r="S818" s="36"/>
      <c r="T818" s="36"/>
    </row>
    <row r="819" spans="1:20" ht="15.75">
      <c r="A819" s="13">
        <v>66445</v>
      </c>
      <c r="B819" s="44">
        <f t="shared" si="3"/>
        <v>30</v>
      </c>
      <c r="C819" s="35">
        <v>122.58</v>
      </c>
      <c r="D819" s="35">
        <v>297.94099999999997</v>
      </c>
      <c r="E819" s="41">
        <v>729.47900000000004</v>
      </c>
      <c r="F819" s="35">
        <v>1150</v>
      </c>
      <c r="G819" s="35">
        <v>100</v>
      </c>
      <c r="H819" s="43">
        <v>600</v>
      </c>
      <c r="I819" s="35">
        <v>695</v>
      </c>
      <c r="J819" s="35">
        <v>50</v>
      </c>
      <c r="K819" s="36"/>
      <c r="L819" s="36"/>
      <c r="M819" s="36"/>
      <c r="N819" s="36"/>
      <c r="O819" s="36"/>
      <c r="P819" s="36"/>
      <c r="Q819" s="36"/>
      <c r="R819" s="36"/>
      <c r="S819" s="36"/>
      <c r="T819" s="36"/>
    </row>
    <row r="820" spans="1:20" ht="15.75">
      <c r="A820" s="13">
        <v>66476</v>
      </c>
      <c r="B820" s="44">
        <f t="shared" si="3"/>
        <v>31</v>
      </c>
      <c r="C820" s="35">
        <v>122.58</v>
      </c>
      <c r="D820" s="35">
        <v>297.94099999999997</v>
      </c>
      <c r="E820" s="41">
        <v>729.47900000000004</v>
      </c>
      <c r="F820" s="35">
        <v>1150</v>
      </c>
      <c r="G820" s="35">
        <v>100</v>
      </c>
      <c r="H820" s="43">
        <v>600</v>
      </c>
      <c r="I820" s="35">
        <v>695</v>
      </c>
      <c r="J820" s="35">
        <v>50</v>
      </c>
      <c r="K820" s="36"/>
      <c r="L820" s="36"/>
      <c r="M820" s="36"/>
      <c r="N820" s="36"/>
      <c r="O820" s="36"/>
      <c r="P820" s="36"/>
      <c r="Q820" s="36"/>
      <c r="R820" s="36"/>
      <c r="S820" s="36"/>
      <c r="T820" s="36"/>
    </row>
    <row r="821" spans="1:20" ht="15.75">
      <c r="A821" s="13">
        <v>66507</v>
      </c>
      <c r="B821" s="44">
        <f t="shared" si="3"/>
        <v>31</v>
      </c>
      <c r="C821" s="35">
        <v>122.58</v>
      </c>
      <c r="D821" s="35">
        <v>297.94099999999997</v>
      </c>
      <c r="E821" s="41">
        <v>729.47900000000004</v>
      </c>
      <c r="F821" s="35">
        <v>1150</v>
      </c>
      <c r="G821" s="35">
        <v>100</v>
      </c>
      <c r="H821" s="43">
        <v>600</v>
      </c>
      <c r="I821" s="35">
        <v>695</v>
      </c>
      <c r="J821" s="35">
        <v>50</v>
      </c>
      <c r="K821" s="36"/>
      <c r="L821" s="36"/>
      <c r="M821" s="36"/>
      <c r="N821" s="36"/>
      <c r="O821" s="36"/>
      <c r="P821" s="36"/>
      <c r="Q821" s="36"/>
      <c r="R821" s="36"/>
      <c r="S821" s="36"/>
      <c r="T821" s="36"/>
    </row>
    <row r="822" spans="1:20" ht="15.75">
      <c r="A822" s="13">
        <v>66535</v>
      </c>
      <c r="B822" s="44">
        <f t="shared" si="3"/>
        <v>28</v>
      </c>
      <c r="C822" s="35">
        <v>122.58</v>
      </c>
      <c r="D822" s="35">
        <v>297.94099999999997</v>
      </c>
      <c r="E822" s="41">
        <v>729.47900000000004</v>
      </c>
      <c r="F822" s="35">
        <v>1150</v>
      </c>
      <c r="G822" s="35">
        <v>100</v>
      </c>
      <c r="H822" s="43">
        <v>600</v>
      </c>
      <c r="I822" s="35">
        <v>695</v>
      </c>
      <c r="J822" s="35">
        <v>50</v>
      </c>
      <c r="K822" s="36"/>
      <c r="L822" s="36"/>
      <c r="M822" s="36"/>
      <c r="N822" s="36"/>
      <c r="O822" s="36"/>
      <c r="P822" s="36"/>
      <c r="Q822" s="36"/>
      <c r="R822" s="36"/>
      <c r="S822" s="36"/>
      <c r="T822" s="36"/>
    </row>
    <row r="823" spans="1:20" ht="15.75">
      <c r="A823" s="13">
        <v>66566</v>
      </c>
      <c r="B823" s="44">
        <f t="shared" si="3"/>
        <v>31</v>
      </c>
      <c r="C823" s="35">
        <v>122.58</v>
      </c>
      <c r="D823" s="35">
        <v>297.94099999999997</v>
      </c>
      <c r="E823" s="41">
        <v>729.47900000000004</v>
      </c>
      <c r="F823" s="35">
        <v>1150</v>
      </c>
      <c r="G823" s="35">
        <v>100</v>
      </c>
      <c r="H823" s="43">
        <v>600</v>
      </c>
      <c r="I823" s="35">
        <v>695</v>
      </c>
      <c r="J823" s="35">
        <v>50</v>
      </c>
      <c r="K823" s="36"/>
      <c r="L823" s="36"/>
      <c r="M823" s="36"/>
      <c r="N823" s="36"/>
      <c r="O823" s="36"/>
      <c r="P823" s="36"/>
      <c r="Q823" s="36"/>
      <c r="R823" s="36"/>
      <c r="S823" s="36"/>
      <c r="T823" s="36"/>
    </row>
    <row r="824" spans="1:20" ht="15.75">
      <c r="A824" s="13">
        <v>66596</v>
      </c>
      <c r="B824" s="44">
        <f t="shared" si="3"/>
        <v>30</v>
      </c>
      <c r="C824" s="35">
        <v>141.29300000000001</v>
      </c>
      <c r="D824" s="35">
        <v>267.99299999999999</v>
      </c>
      <c r="E824" s="41">
        <v>829.71400000000006</v>
      </c>
      <c r="F824" s="35">
        <v>1239</v>
      </c>
      <c r="G824" s="35">
        <v>100</v>
      </c>
      <c r="H824" s="43">
        <v>600</v>
      </c>
      <c r="I824" s="35">
        <v>695</v>
      </c>
      <c r="J824" s="35">
        <v>50</v>
      </c>
      <c r="K824" s="36"/>
      <c r="L824" s="36"/>
      <c r="M824" s="36"/>
      <c r="N824" s="36"/>
      <c r="O824" s="36"/>
      <c r="P824" s="36"/>
      <c r="Q824" s="36"/>
      <c r="R824" s="36"/>
      <c r="S824" s="36"/>
      <c r="T824" s="36"/>
    </row>
    <row r="825" spans="1:20" ht="15.75">
      <c r="A825" s="13">
        <v>66627</v>
      </c>
      <c r="B825" s="44">
        <f t="shared" si="3"/>
        <v>31</v>
      </c>
      <c r="C825" s="35">
        <v>194.20500000000001</v>
      </c>
      <c r="D825" s="35">
        <v>267.46600000000001</v>
      </c>
      <c r="E825" s="41">
        <v>812.32899999999995</v>
      </c>
      <c r="F825" s="35">
        <v>1274</v>
      </c>
      <c r="G825" s="35">
        <v>75</v>
      </c>
      <c r="H825" s="43">
        <v>600</v>
      </c>
      <c r="I825" s="35">
        <v>695</v>
      </c>
      <c r="J825" s="35">
        <v>50</v>
      </c>
      <c r="K825" s="36"/>
      <c r="L825" s="36"/>
      <c r="M825" s="36"/>
      <c r="N825" s="36"/>
      <c r="O825" s="36"/>
      <c r="P825" s="36"/>
      <c r="Q825" s="36"/>
      <c r="R825" s="36"/>
      <c r="S825" s="36"/>
      <c r="T825" s="36"/>
    </row>
    <row r="826" spans="1:20" ht="15.75">
      <c r="A826" s="13">
        <v>66657</v>
      </c>
      <c r="B826" s="44">
        <f t="shared" si="3"/>
        <v>30</v>
      </c>
      <c r="C826" s="35">
        <v>194.20500000000001</v>
      </c>
      <c r="D826" s="35">
        <v>267.46600000000001</v>
      </c>
      <c r="E826" s="41">
        <v>812.32899999999995</v>
      </c>
      <c r="F826" s="35">
        <v>1274</v>
      </c>
      <c r="G826" s="35">
        <v>50</v>
      </c>
      <c r="H826" s="43">
        <v>600</v>
      </c>
      <c r="I826" s="35">
        <v>695</v>
      </c>
      <c r="J826" s="35">
        <v>50</v>
      </c>
      <c r="K826" s="36"/>
      <c r="L826" s="36"/>
      <c r="M826" s="36"/>
      <c r="N826" s="36"/>
      <c r="O826" s="36"/>
      <c r="P826" s="36"/>
      <c r="Q826" s="36"/>
      <c r="R826" s="36"/>
      <c r="S826" s="36"/>
      <c r="T826" s="36"/>
    </row>
    <row r="827" spans="1:20" ht="15.75">
      <c r="A827" s="13">
        <v>66688</v>
      </c>
      <c r="B827" s="44">
        <f t="shared" si="3"/>
        <v>31</v>
      </c>
      <c r="C827" s="35">
        <v>194.20500000000001</v>
      </c>
      <c r="D827" s="35">
        <v>267.46600000000001</v>
      </c>
      <c r="E827" s="41">
        <v>812.32899999999995</v>
      </c>
      <c r="F827" s="35">
        <v>1274</v>
      </c>
      <c r="G827" s="35">
        <v>50</v>
      </c>
      <c r="H827" s="43">
        <v>600</v>
      </c>
      <c r="I827" s="35">
        <v>695</v>
      </c>
      <c r="J827" s="35">
        <v>0</v>
      </c>
      <c r="K827" s="36"/>
      <c r="L827" s="36"/>
      <c r="M827" s="36"/>
      <c r="N827" s="36"/>
      <c r="O827" s="36"/>
      <c r="P827" s="36"/>
      <c r="Q827" s="36"/>
      <c r="R827" s="36"/>
      <c r="S827" s="36"/>
      <c r="T827" s="36"/>
    </row>
    <row r="828" spans="1:20" ht="15.75">
      <c r="A828" s="13">
        <v>66719</v>
      </c>
      <c r="B828" s="44">
        <f t="shared" si="3"/>
        <v>31</v>
      </c>
      <c r="C828" s="35">
        <v>194.20500000000001</v>
      </c>
      <c r="D828" s="35">
        <v>267.46600000000001</v>
      </c>
      <c r="E828" s="41">
        <v>812.32899999999995</v>
      </c>
      <c r="F828" s="35">
        <v>1274</v>
      </c>
      <c r="G828" s="35">
        <v>50</v>
      </c>
      <c r="H828" s="43">
        <v>600</v>
      </c>
      <c r="I828" s="35">
        <v>695</v>
      </c>
      <c r="J828" s="35">
        <v>0</v>
      </c>
      <c r="K828" s="36"/>
      <c r="L828" s="36"/>
      <c r="M828" s="36"/>
      <c r="N828" s="36"/>
      <c r="O828" s="36"/>
      <c r="P828" s="36"/>
      <c r="Q828" s="36"/>
      <c r="R828" s="36"/>
      <c r="S828" s="36"/>
      <c r="T828" s="36"/>
    </row>
    <row r="829" spans="1:20" ht="15.75">
      <c r="A829" s="13">
        <v>66749</v>
      </c>
      <c r="B829" s="44">
        <f t="shared" si="3"/>
        <v>30</v>
      </c>
      <c r="C829" s="35">
        <v>194.20500000000001</v>
      </c>
      <c r="D829" s="35">
        <v>267.46600000000001</v>
      </c>
      <c r="E829" s="41">
        <v>812.32899999999995</v>
      </c>
      <c r="F829" s="35">
        <v>1274</v>
      </c>
      <c r="G829" s="35">
        <v>50</v>
      </c>
      <c r="H829" s="43">
        <v>600</v>
      </c>
      <c r="I829" s="35">
        <v>695</v>
      </c>
      <c r="J829" s="35">
        <v>0</v>
      </c>
      <c r="K829" s="36"/>
      <c r="L829" s="36"/>
      <c r="M829" s="36"/>
      <c r="N829" s="36"/>
      <c r="O829" s="36"/>
      <c r="P829" s="36"/>
      <c r="Q829" s="36"/>
      <c r="R829" s="36"/>
      <c r="S829" s="36"/>
      <c r="T829" s="36"/>
    </row>
    <row r="830" spans="1:20" ht="15.75">
      <c r="A830" s="13">
        <v>66780</v>
      </c>
      <c r="B830" s="44">
        <f t="shared" si="3"/>
        <v>31</v>
      </c>
      <c r="C830" s="35">
        <v>131.881</v>
      </c>
      <c r="D830" s="35">
        <v>277.16699999999997</v>
      </c>
      <c r="E830" s="41">
        <v>829.952</v>
      </c>
      <c r="F830" s="35">
        <v>1239</v>
      </c>
      <c r="G830" s="35">
        <v>75</v>
      </c>
      <c r="H830" s="43">
        <v>600</v>
      </c>
      <c r="I830" s="35">
        <v>695</v>
      </c>
      <c r="J830" s="35">
        <v>0</v>
      </c>
      <c r="K830" s="36"/>
      <c r="L830" s="36"/>
      <c r="M830" s="36"/>
      <c r="N830" s="36"/>
      <c r="O830" s="36"/>
      <c r="P830" s="36"/>
      <c r="Q830" s="36"/>
      <c r="R830" s="36"/>
      <c r="S830" s="36"/>
      <c r="T830" s="36"/>
    </row>
    <row r="831" spans="1:20" ht="15.75">
      <c r="A831" s="13">
        <v>66810</v>
      </c>
      <c r="B831" s="44">
        <f t="shared" si="3"/>
        <v>30</v>
      </c>
      <c r="C831" s="35">
        <v>122.58</v>
      </c>
      <c r="D831" s="35">
        <v>297.94099999999997</v>
      </c>
      <c r="E831" s="41">
        <v>729.47900000000004</v>
      </c>
      <c r="F831" s="35">
        <v>1150</v>
      </c>
      <c r="G831" s="35">
        <v>100</v>
      </c>
      <c r="H831" s="43">
        <v>600</v>
      </c>
      <c r="I831" s="35">
        <v>695</v>
      </c>
      <c r="J831" s="35">
        <v>50</v>
      </c>
      <c r="K831" s="36"/>
      <c r="L831" s="36"/>
      <c r="M831" s="36"/>
      <c r="N831" s="36"/>
      <c r="O831" s="36"/>
      <c r="P831" s="36"/>
      <c r="Q831" s="36"/>
      <c r="R831" s="36"/>
      <c r="S831" s="36"/>
      <c r="T831" s="36"/>
    </row>
    <row r="832" spans="1:20" ht="15.75">
      <c r="A832" s="13">
        <v>66841</v>
      </c>
      <c r="B832" s="44">
        <f t="shared" si="3"/>
        <v>31</v>
      </c>
      <c r="C832" s="35">
        <v>122.58</v>
      </c>
      <c r="D832" s="35">
        <v>297.94099999999997</v>
      </c>
      <c r="E832" s="41">
        <v>729.47900000000004</v>
      </c>
      <c r="F832" s="35">
        <v>1150</v>
      </c>
      <c r="G832" s="35">
        <v>100</v>
      </c>
      <c r="H832" s="43">
        <v>600</v>
      </c>
      <c r="I832" s="35">
        <v>695</v>
      </c>
      <c r="J832" s="35">
        <v>50</v>
      </c>
      <c r="K832" s="36"/>
      <c r="L832" s="36"/>
      <c r="M832" s="36"/>
      <c r="N832" s="36"/>
      <c r="O832" s="36"/>
      <c r="P832" s="36"/>
      <c r="Q832" s="36"/>
      <c r="R832" s="36"/>
      <c r="S832" s="36"/>
      <c r="T832" s="36"/>
    </row>
    <row r="833" spans="1:20" ht="15.75">
      <c r="A833" s="13">
        <v>66872</v>
      </c>
      <c r="B833" s="44">
        <f t="shared" si="3"/>
        <v>31</v>
      </c>
      <c r="C833" s="35">
        <v>122.58</v>
      </c>
      <c r="D833" s="35">
        <v>297.94099999999997</v>
      </c>
      <c r="E833" s="41">
        <v>729.47900000000004</v>
      </c>
      <c r="F833" s="35">
        <v>1150</v>
      </c>
      <c r="G833" s="35">
        <v>100</v>
      </c>
      <c r="H833" s="43">
        <v>600</v>
      </c>
      <c r="I833" s="35">
        <v>695</v>
      </c>
      <c r="J833" s="35">
        <v>50</v>
      </c>
      <c r="K833" s="36"/>
      <c r="L833" s="36"/>
      <c r="M833" s="36"/>
      <c r="N833" s="36"/>
      <c r="O833" s="36"/>
      <c r="P833" s="36"/>
      <c r="Q833" s="36"/>
      <c r="R833" s="36"/>
      <c r="S833" s="36"/>
      <c r="T833" s="36"/>
    </row>
    <row r="834" spans="1:20" ht="15.75">
      <c r="A834" s="13">
        <v>66900</v>
      </c>
      <c r="B834" s="44">
        <f t="shared" si="3"/>
        <v>28</v>
      </c>
      <c r="C834" s="35">
        <v>122.58</v>
      </c>
      <c r="D834" s="35">
        <v>297.94099999999997</v>
      </c>
      <c r="E834" s="41">
        <v>729.47900000000004</v>
      </c>
      <c r="F834" s="35">
        <v>1150</v>
      </c>
      <c r="G834" s="35">
        <v>100</v>
      </c>
      <c r="H834" s="43">
        <v>600</v>
      </c>
      <c r="I834" s="35">
        <v>695</v>
      </c>
      <c r="J834" s="35">
        <v>50</v>
      </c>
      <c r="K834" s="36"/>
      <c r="L834" s="36"/>
      <c r="M834" s="36"/>
      <c r="N834" s="36"/>
      <c r="O834" s="36"/>
      <c r="P834" s="36"/>
      <c r="Q834" s="36"/>
      <c r="R834" s="36"/>
      <c r="S834" s="36"/>
      <c r="T834" s="36"/>
    </row>
    <row r="835" spans="1:20" ht="15.75">
      <c r="A835" s="13">
        <v>66931</v>
      </c>
      <c r="B835" s="44">
        <f t="shared" si="3"/>
        <v>31</v>
      </c>
      <c r="C835" s="35">
        <v>122.58</v>
      </c>
      <c r="D835" s="35">
        <v>297.94099999999997</v>
      </c>
      <c r="E835" s="41">
        <v>729.47900000000004</v>
      </c>
      <c r="F835" s="35">
        <v>1150</v>
      </c>
      <c r="G835" s="35">
        <v>100</v>
      </c>
      <c r="H835" s="43">
        <v>600</v>
      </c>
      <c r="I835" s="35">
        <v>695</v>
      </c>
      <c r="J835" s="35">
        <v>50</v>
      </c>
      <c r="K835" s="36"/>
      <c r="L835" s="36"/>
      <c r="M835" s="36"/>
      <c r="N835" s="36"/>
      <c r="O835" s="36"/>
      <c r="P835" s="36"/>
      <c r="Q835" s="36"/>
      <c r="R835" s="36"/>
      <c r="S835" s="36"/>
      <c r="T835" s="36"/>
    </row>
    <row r="836" spans="1:20" ht="15.75">
      <c r="A836" s="13">
        <v>66961</v>
      </c>
      <c r="B836" s="44">
        <f t="shared" si="3"/>
        <v>30</v>
      </c>
      <c r="C836" s="35">
        <v>141.29300000000001</v>
      </c>
      <c r="D836" s="35">
        <v>267.99299999999999</v>
      </c>
      <c r="E836" s="41">
        <v>829.71400000000006</v>
      </c>
      <c r="F836" s="35">
        <v>1239</v>
      </c>
      <c r="G836" s="35">
        <v>100</v>
      </c>
      <c r="H836" s="43">
        <v>600</v>
      </c>
      <c r="I836" s="35">
        <v>695</v>
      </c>
      <c r="J836" s="35">
        <v>50</v>
      </c>
      <c r="K836" s="36"/>
      <c r="L836" s="36"/>
      <c r="M836" s="36"/>
      <c r="N836" s="36"/>
      <c r="O836" s="36"/>
      <c r="P836" s="36"/>
      <c r="Q836" s="36"/>
      <c r="R836" s="36"/>
      <c r="S836" s="36"/>
      <c r="T836" s="36"/>
    </row>
    <row r="837" spans="1:20" ht="15.75">
      <c r="A837" s="13">
        <v>66992</v>
      </c>
      <c r="B837" s="44">
        <f t="shared" ref="B837:B900" si="4">EOMONTH(A837,0)-EOMONTH(A837,-1)</f>
        <v>31</v>
      </c>
      <c r="C837" s="35">
        <v>194.20500000000001</v>
      </c>
      <c r="D837" s="35">
        <v>267.46600000000001</v>
      </c>
      <c r="E837" s="41">
        <v>812.32899999999995</v>
      </c>
      <c r="F837" s="35">
        <v>1274</v>
      </c>
      <c r="G837" s="35">
        <v>75</v>
      </c>
      <c r="H837" s="43">
        <v>600</v>
      </c>
      <c r="I837" s="35">
        <v>695</v>
      </c>
      <c r="J837" s="35">
        <v>50</v>
      </c>
      <c r="K837" s="36"/>
      <c r="L837" s="36"/>
      <c r="M837" s="36"/>
      <c r="N837" s="36"/>
      <c r="O837" s="36"/>
      <c r="P837" s="36"/>
      <c r="Q837" s="36"/>
      <c r="R837" s="36"/>
      <c r="S837" s="36"/>
      <c r="T837" s="36"/>
    </row>
    <row r="838" spans="1:20" ht="15.75">
      <c r="A838" s="13">
        <v>67022</v>
      </c>
      <c r="B838" s="44">
        <f t="shared" si="4"/>
        <v>30</v>
      </c>
      <c r="C838" s="35">
        <v>194.20500000000001</v>
      </c>
      <c r="D838" s="35">
        <v>267.46600000000001</v>
      </c>
      <c r="E838" s="41">
        <v>812.32899999999995</v>
      </c>
      <c r="F838" s="35">
        <v>1274</v>
      </c>
      <c r="G838" s="35">
        <v>50</v>
      </c>
      <c r="H838" s="43">
        <v>600</v>
      </c>
      <c r="I838" s="35">
        <v>695</v>
      </c>
      <c r="J838" s="35">
        <v>50</v>
      </c>
      <c r="K838" s="36"/>
      <c r="L838" s="36"/>
      <c r="M838" s="36"/>
      <c r="N838" s="36"/>
      <c r="O838" s="36"/>
      <c r="P838" s="36"/>
      <c r="Q838" s="36"/>
      <c r="R838" s="36"/>
      <c r="S838" s="36"/>
      <c r="T838" s="36"/>
    </row>
    <row r="839" spans="1:20" ht="15.75">
      <c r="A839" s="13">
        <v>67053</v>
      </c>
      <c r="B839" s="44">
        <f t="shared" si="4"/>
        <v>31</v>
      </c>
      <c r="C839" s="35">
        <v>194.20500000000001</v>
      </c>
      <c r="D839" s="35">
        <v>267.46600000000001</v>
      </c>
      <c r="E839" s="41">
        <v>812.32899999999995</v>
      </c>
      <c r="F839" s="35">
        <v>1274</v>
      </c>
      <c r="G839" s="35">
        <v>50</v>
      </c>
      <c r="H839" s="43">
        <v>600</v>
      </c>
      <c r="I839" s="35">
        <v>695</v>
      </c>
      <c r="J839" s="35">
        <v>0</v>
      </c>
      <c r="K839" s="36"/>
      <c r="L839" s="36"/>
      <c r="M839" s="36"/>
      <c r="N839" s="36"/>
      <c r="O839" s="36"/>
      <c r="P839" s="36"/>
      <c r="Q839" s="36"/>
      <c r="R839" s="36"/>
      <c r="S839" s="36"/>
      <c r="T839" s="36"/>
    </row>
    <row r="840" spans="1:20" ht="15.75">
      <c r="A840" s="13">
        <v>67084</v>
      </c>
      <c r="B840" s="44">
        <f t="shared" si="4"/>
        <v>31</v>
      </c>
      <c r="C840" s="35">
        <v>194.20500000000001</v>
      </c>
      <c r="D840" s="35">
        <v>267.46600000000001</v>
      </c>
      <c r="E840" s="41">
        <v>812.32899999999995</v>
      </c>
      <c r="F840" s="35">
        <v>1274</v>
      </c>
      <c r="G840" s="35">
        <v>50</v>
      </c>
      <c r="H840" s="43">
        <v>600</v>
      </c>
      <c r="I840" s="35">
        <v>695</v>
      </c>
      <c r="J840" s="35">
        <v>0</v>
      </c>
      <c r="K840" s="36"/>
      <c r="L840" s="36"/>
      <c r="M840" s="36"/>
      <c r="N840" s="36"/>
      <c r="O840" s="36"/>
      <c r="P840" s="36"/>
      <c r="Q840" s="36"/>
      <c r="R840" s="36"/>
      <c r="S840" s="36"/>
      <c r="T840" s="36"/>
    </row>
    <row r="841" spans="1:20" ht="15.75">
      <c r="A841" s="13">
        <v>67114</v>
      </c>
      <c r="B841" s="44">
        <f t="shared" si="4"/>
        <v>30</v>
      </c>
      <c r="C841" s="35">
        <v>194.20500000000001</v>
      </c>
      <c r="D841" s="35">
        <v>267.46600000000001</v>
      </c>
      <c r="E841" s="41">
        <v>812.32899999999995</v>
      </c>
      <c r="F841" s="35">
        <v>1274</v>
      </c>
      <c r="G841" s="35">
        <v>50</v>
      </c>
      <c r="H841" s="43">
        <v>600</v>
      </c>
      <c r="I841" s="35">
        <v>695</v>
      </c>
      <c r="J841" s="35">
        <v>0</v>
      </c>
      <c r="K841" s="36"/>
      <c r="L841" s="36"/>
      <c r="M841" s="36"/>
      <c r="N841" s="36"/>
      <c r="O841" s="36"/>
      <c r="P841" s="36"/>
      <c r="Q841" s="36"/>
      <c r="R841" s="36"/>
      <c r="S841" s="36"/>
      <c r="T841" s="36"/>
    </row>
    <row r="842" spans="1:20" ht="15.75">
      <c r="A842" s="13">
        <v>67145</v>
      </c>
      <c r="B842" s="44">
        <f t="shared" si="4"/>
        <v>31</v>
      </c>
      <c r="C842" s="35">
        <v>131.881</v>
      </c>
      <c r="D842" s="35">
        <v>277.16699999999997</v>
      </c>
      <c r="E842" s="41">
        <v>829.952</v>
      </c>
      <c r="F842" s="35">
        <v>1239</v>
      </c>
      <c r="G842" s="35">
        <v>75</v>
      </c>
      <c r="H842" s="43">
        <v>600</v>
      </c>
      <c r="I842" s="35">
        <v>695</v>
      </c>
      <c r="J842" s="35">
        <v>0</v>
      </c>
      <c r="K842" s="36"/>
      <c r="L842" s="36"/>
      <c r="M842" s="36"/>
      <c r="N842" s="36"/>
      <c r="O842" s="36"/>
      <c r="P842" s="36"/>
      <c r="Q842" s="36"/>
      <c r="R842" s="36"/>
      <c r="S842" s="36"/>
      <c r="T842" s="36"/>
    </row>
    <row r="843" spans="1:20" ht="15.75">
      <c r="A843" s="13">
        <v>67175</v>
      </c>
      <c r="B843" s="44">
        <f t="shared" si="4"/>
        <v>30</v>
      </c>
      <c r="C843" s="35">
        <v>122.58</v>
      </c>
      <c r="D843" s="35">
        <v>297.94099999999997</v>
      </c>
      <c r="E843" s="41">
        <v>729.47900000000004</v>
      </c>
      <c r="F843" s="35">
        <v>1150</v>
      </c>
      <c r="G843" s="35">
        <v>100</v>
      </c>
      <c r="H843" s="43">
        <v>600</v>
      </c>
      <c r="I843" s="35">
        <v>695</v>
      </c>
      <c r="J843" s="35">
        <v>50</v>
      </c>
      <c r="K843" s="36"/>
      <c r="L843" s="36"/>
      <c r="M843" s="36"/>
      <c r="N843" s="36"/>
      <c r="O843" s="36"/>
      <c r="P843" s="36"/>
      <c r="Q843" s="36"/>
      <c r="R843" s="36"/>
      <c r="S843" s="36"/>
      <c r="T843" s="36"/>
    </row>
    <row r="844" spans="1:20" ht="15.75">
      <c r="A844" s="13">
        <v>67206</v>
      </c>
      <c r="B844" s="44">
        <f t="shared" si="4"/>
        <v>31</v>
      </c>
      <c r="C844" s="35">
        <v>122.58</v>
      </c>
      <c r="D844" s="35">
        <v>297.94099999999997</v>
      </c>
      <c r="E844" s="41">
        <v>729.47900000000004</v>
      </c>
      <c r="F844" s="35">
        <v>1150</v>
      </c>
      <c r="G844" s="35">
        <v>100</v>
      </c>
      <c r="H844" s="43">
        <v>600</v>
      </c>
      <c r="I844" s="35">
        <v>695</v>
      </c>
      <c r="J844" s="35">
        <v>50</v>
      </c>
      <c r="K844" s="36"/>
      <c r="L844" s="36"/>
      <c r="M844" s="36"/>
      <c r="N844" s="36"/>
      <c r="O844" s="36"/>
      <c r="P844" s="36"/>
      <c r="Q844" s="36"/>
      <c r="R844" s="36"/>
      <c r="S844" s="36"/>
      <c r="T844" s="36"/>
    </row>
    <row r="845" spans="1:20" ht="15.75">
      <c r="A845" s="13">
        <v>67237</v>
      </c>
      <c r="B845" s="44">
        <f t="shared" si="4"/>
        <v>31</v>
      </c>
      <c r="C845" s="35">
        <v>122.58</v>
      </c>
      <c r="D845" s="35">
        <v>297.94099999999997</v>
      </c>
      <c r="E845" s="41">
        <v>729.47900000000004</v>
      </c>
      <c r="F845" s="35">
        <v>1150</v>
      </c>
      <c r="G845" s="35">
        <v>100</v>
      </c>
      <c r="H845" s="43">
        <v>600</v>
      </c>
      <c r="I845" s="35">
        <v>695</v>
      </c>
      <c r="J845" s="35">
        <v>50</v>
      </c>
      <c r="K845" s="36"/>
      <c r="L845" s="36"/>
      <c r="M845" s="36"/>
      <c r="N845" s="36"/>
      <c r="O845" s="36"/>
      <c r="P845" s="36"/>
      <c r="Q845" s="36"/>
      <c r="R845" s="36"/>
      <c r="S845" s="36"/>
      <c r="T845" s="36"/>
    </row>
    <row r="846" spans="1:20" ht="15.75">
      <c r="A846" s="13">
        <v>67266</v>
      </c>
      <c r="B846" s="44">
        <f t="shared" si="4"/>
        <v>29</v>
      </c>
      <c r="C846" s="35">
        <v>122.58</v>
      </c>
      <c r="D846" s="35">
        <v>297.94099999999997</v>
      </c>
      <c r="E846" s="41">
        <v>729.47900000000004</v>
      </c>
      <c r="F846" s="35">
        <v>1150</v>
      </c>
      <c r="G846" s="35">
        <v>100</v>
      </c>
      <c r="H846" s="43">
        <v>600</v>
      </c>
      <c r="I846" s="35">
        <v>695</v>
      </c>
      <c r="J846" s="35">
        <v>50</v>
      </c>
      <c r="K846" s="36"/>
      <c r="L846" s="36"/>
      <c r="M846" s="36"/>
      <c r="N846" s="36"/>
      <c r="O846" s="36"/>
      <c r="P846" s="36"/>
      <c r="Q846" s="36"/>
      <c r="R846" s="36"/>
      <c r="S846" s="36"/>
      <c r="T846" s="36"/>
    </row>
    <row r="847" spans="1:20" ht="15.75">
      <c r="A847" s="13">
        <v>67297</v>
      </c>
      <c r="B847" s="44">
        <f t="shared" si="4"/>
        <v>31</v>
      </c>
      <c r="C847" s="35">
        <v>122.58</v>
      </c>
      <c r="D847" s="35">
        <v>297.94099999999997</v>
      </c>
      <c r="E847" s="41">
        <v>729.47900000000004</v>
      </c>
      <c r="F847" s="35">
        <v>1150</v>
      </c>
      <c r="G847" s="35">
        <v>100</v>
      </c>
      <c r="H847" s="43">
        <v>600</v>
      </c>
      <c r="I847" s="35">
        <v>695</v>
      </c>
      <c r="J847" s="35">
        <v>50</v>
      </c>
      <c r="K847" s="36"/>
      <c r="L847" s="36"/>
      <c r="M847" s="36"/>
      <c r="N847" s="36"/>
      <c r="O847" s="36"/>
      <c r="P847" s="36"/>
      <c r="Q847" s="36"/>
      <c r="R847" s="36"/>
      <c r="S847" s="36"/>
      <c r="T847" s="36"/>
    </row>
    <row r="848" spans="1:20" ht="15.75">
      <c r="A848" s="13">
        <v>67327</v>
      </c>
      <c r="B848" s="44">
        <f t="shared" si="4"/>
        <v>30</v>
      </c>
      <c r="C848" s="35">
        <v>141.29300000000001</v>
      </c>
      <c r="D848" s="35">
        <v>267.99299999999999</v>
      </c>
      <c r="E848" s="41">
        <v>829.71400000000006</v>
      </c>
      <c r="F848" s="35">
        <v>1239</v>
      </c>
      <c r="G848" s="35">
        <v>100</v>
      </c>
      <c r="H848" s="43">
        <v>600</v>
      </c>
      <c r="I848" s="35">
        <v>695</v>
      </c>
      <c r="J848" s="35">
        <v>50</v>
      </c>
      <c r="K848" s="36"/>
      <c r="L848" s="36"/>
      <c r="M848" s="36"/>
      <c r="N848" s="36"/>
      <c r="O848" s="36"/>
      <c r="P848" s="36"/>
      <c r="Q848" s="36"/>
      <c r="R848" s="36"/>
      <c r="S848" s="36"/>
      <c r="T848" s="36"/>
    </row>
    <row r="849" spans="1:20" ht="15.75">
      <c r="A849" s="13">
        <v>67358</v>
      </c>
      <c r="B849" s="44">
        <f t="shared" si="4"/>
        <v>31</v>
      </c>
      <c r="C849" s="35">
        <v>194.20500000000001</v>
      </c>
      <c r="D849" s="35">
        <v>267.46600000000001</v>
      </c>
      <c r="E849" s="41">
        <v>812.32899999999995</v>
      </c>
      <c r="F849" s="35">
        <v>1274</v>
      </c>
      <c r="G849" s="35">
        <v>75</v>
      </c>
      <c r="H849" s="43">
        <v>600</v>
      </c>
      <c r="I849" s="35">
        <v>695</v>
      </c>
      <c r="J849" s="35">
        <v>50</v>
      </c>
      <c r="K849" s="36"/>
      <c r="L849" s="36"/>
      <c r="M849" s="36"/>
      <c r="N849" s="36"/>
      <c r="O849" s="36"/>
      <c r="P849" s="36"/>
      <c r="Q849" s="36"/>
      <c r="R849" s="36"/>
      <c r="S849" s="36"/>
      <c r="T849" s="36"/>
    </row>
    <row r="850" spans="1:20" ht="15.75">
      <c r="A850" s="13">
        <v>67388</v>
      </c>
      <c r="B850" s="44">
        <f t="shared" si="4"/>
        <v>30</v>
      </c>
      <c r="C850" s="35">
        <v>194.20500000000001</v>
      </c>
      <c r="D850" s="35">
        <v>267.46600000000001</v>
      </c>
      <c r="E850" s="41">
        <v>812.32899999999995</v>
      </c>
      <c r="F850" s="35">
        <v>1274</v>
      </c>
      <c r="G850" s="35">
        <v>50</v>
      </c>
      <c r="H850" s="43">
        <v>600</v>
      </c>
      <c r="I850" s="35">
        <v>695</v>
      </c>
      <c r="J850" s="35">
        <v>50</v>
      </c>
      <c r="K850" s="36"/>
      <c r="L850" s="36"/>
      <c r="M850" s="36"/>
      <c r="N850" s="36"/>
      <c r="O850" s="36"/>
      <c r="P850" s="36"/>
      <c r="Q850" s="36"/>
      <c r="R850" s="36"/>
      <c r="S850" s="36"/>
      <c r="T850" s="36"/>
    </row>
    <row r="851" spans="1:20" ht="15.75">
      <c r="A851" s="13">
        <v>67419</v>
      </c>
      <c r="B851" s="44">
        <f t="shared" si="4"/>
        <v>31</v>
      </c>
      <c r="C851" s="35">
        <v>194.20500000000001</v>
      </c>
      <c r="D851" s="35">
        <v>267.46600000000001</v>
      </c>
      <c r="E851" s="41">
        <v>812.32899999999995</v>
      </c>
      <c r="F851" s="35">
        <v>1274</v>
      </c>
      <c r="G851" s="35">
        <v>50</v>
      </c>
      <c r="H851" s="43">
        <v>600</v>
      </c>
      <c r="I851" s="35">
        <v>695</v>
      </c>
      <c r="J851" s="35">
        <v>0</v>
      </c>
      <c r="K851" s="36"/>
      <c r="L851" s="36"/>
      <c r="M851" s="36"/>
      <c r="N851" s="36"/>
      <c r="O851" s="36"/>
      <c r="P851" s="36"/>
      <c r="Q851" s="36"/>
      <c r="R851" s="36"/>
      <c r="S851" s="36"/>
      <c r="T851" s="36"/>
    </row>
    <row r="852" spans="1:20" ht="15.75">
      <c r="A852" s="13">
        <v>67450</v>
      </c>
      <c r="B852" s="44">
        <f t="shared" si="4"/>
        <v>31</v>
      </c>
      <c r="C852" s="35">
        <v>194.20500000000001</v>
      </c>
      <c r="D852" s="35">
        <v>267.46600000000001</v>
      </c>
      <c r="E852" s="41">
        <v>812.32899999999995</v>
      </c>
      <c r="F852" s="35">
        <v>1274</v>
      </c>
      <c r="G852" s="35">
        <v>50</v>
      </c>
      <c r="H852" s="43">
        <v>600</v>
      </c>
      <c r="I852" s="35">
        <v>695</v>
      </c>
      <c r="J852" s="35">
        <v>0</v>
      </c>
      <c r="K852" s="36"/>
      <c r="L852" s="36"/>
      <c r="M852" s="36"/>
      <c r="N852" s="36"/>
      <c r="O852" s="36"/>
      <c r="P852" s="36"/>
      <c r="Q852" s="36"/>
      <c r="R852" s="36"/>
      <c r="S852" s="36"/>
      <c r="T852" s="36"/>
    </row>
    <row r="853" spans="1:20" ht="15.75">
      <c r="A853" s="13">
        <v>67480</v>
      </c>
      <c r="B853" s="44">
        <f t="shared" si="4"/>
        <v>30</v>
      </c>
      <c r="C853" s="35">
        <v>194.20500000000001</v>
      </c>
      <c r="D853" s="35">
        <v>267.46600000000001</v>
      </c>
      <c r="E853" s="41">
        <v>812.32899999999995</v>
      </c>
      <c r="F853" s="35">
        <v>1274</v>
      </c>
      <c r="G853" s="35">
        <v>50</v>
      </c>
      <c r="H853" s="43">
        <v>600</v>
      </c>
      <c r="I853" s="35">
        <v>695</v>
      </c>
      <c r="J853" s="35">
        <v>0</v>
      </c>
      <c r="K853" s="36"/>
      <c r="L853" s="36"/>
      <c r="M853" s="36"/>
      <c r="N853" s="36"/>
      <c r="O853" s="36"/>
      <c r="P853" s="36"/>
      <c r="Q853" s="36"/>
      <c r="R853" s="36"/>
      <c r="S853" s="36"/>
      <c r="T853" s="36"/>
    </row>
    <row r="854" spans="1:20" ht="15.75">
      <c r="A854" s="13">
        <v>67511</v>
      </c>
      <c r="B854" s="44">
        <f t="shared" si="4"/>
        <v>31</v>
      </c>
      <c r="C854" s="35">
        <v>131.881</v>
      </c>
      <c r="D854" s="35">
        <v>277.16699999999997</v>
      </c>
      <c r="E854" s="41">
        <v>829.952</v>
      </c>
      <c r="F854" s="35">
        <v>1239</v>
      </c>
      <c r="G854" s="35">
        <v>75</v>
      </c>
      <c r="H854" s="43">
        <v>600</v>
      </c>
      <c r="I854" s="35">
        <v>695</v>
      </c>
      <c r="J854" s="35">
        <v>0</v>
      </c>
      <c r="K854" s="36"/>
      <c r="L854" s="36"/>
      <c r="M854" s="36"/>
      <c r="N854" s="36"/>
      <c r="O854" s="36"/>
      <c r="P854" s="36"/>
      <c r="Q854" s="36"/>
      <c r="R854" s="36"/>
      <c r="S854" s="36"/>
      <c r="T854" s="36"/>
    </row>
    <row r="855" spans="1:20" ht="15.75">
      <c r="A855" s="13">
        <v>67541</v>
      </c>
      <c r="B855" s="44">
        <f t="shared" si="4"/>
        <v>30</v>
      </c>
      <c r="C855" s="35">
        <v>122.58</v>
      </c>
      <c r="D855" s="35">
        <v>297.94099999999997</v>
      </c>
      <c r="E855" s="41">
        <v>729.47900000000004</v>
      </c>
      <c r="F855" s="35">
        <v>1150</v>
      </c>
      <c r="G855" s="35">
        <v>100</v>
      </c>
      <c r="H855" s="43">
        <v>600</v>
      </c>
      <c r="I855" s="35">
        <v>695</v>
      </c>
      <c r="J855" s="35">
        <v>50</v>
      </c>
      <c r="K855" s="36"/>
      <c r="L855" s="36"/>
      <c r="M855" s="36"/>
      <c r="N855" s="36"/>
      <c r="O855" s="36"/>
      <c r="P855" s="36"/>
      <c r="Q855" s="36"/>
      <c r="R855" s="36"/>
      <c r="S855" s="36"/>
      <c r="T855" s="36"/>
    </row>
    <row r="856" spans="1:20" ht="15.75">
      <c r="A856" s="13">
        <v>67572</v>
      </c>
      <c r="B856" s="44">
        <f t="shared" si="4"/>
        <v>31</v>
      </c>
      <c r="C856" s="35">
        <v>122.58</v>
      </c>
      <c r="D856" s="35">
        <v>297.94099999999997</v>
      </c>
      <c r="E856" s="41">
        <v>729.47900000000004</v>
      </c>
      <c r="F856" s="35">
        <v>1150</v>
      </c>
      <c r="G856" s="35">
        <v>100</v>
      </c>
      <c r="H856" s="43">
        <v>600</v>
      </c>
      <c r="I856" s="35">
        <v>695</v>
      </c>
      <c r="J856" s="35">
        <v>50</v>
      </c>
      <c r="K856" s="36"/>
      <c r="L856" s="36"/>
      <c r="M856" s="36"/>
      <c r="N856" s="36"/>
      <c r="O856" s="36"/>
      <c r="P856" s="36"/>
      <c r="Q856" s="36"/>
      <c r="R856" s="36"/>
      <c r="S856" s="36"/>
      <c r="T856" s="36"/>
    </row>
    <row r="857" spans="1:20" ht="15.75">
      <c r="A857" s="13">
        <v>67603</v>
      </c>
      <c r="B857" s="44">
        <f t="shared" si="4"/>
        <v>31</v>
      </c>
      <c r="C857" s="35">
        <v>122.58</v>
      </c>
      <c r="D857" s="35">
        <v>297.94099999999997</v>
      </c>
      <c r="E857" s="41">
        <v>729.47900000000004</v>
      </c>
      <c r="F857" s="35">
        <v>1150</v>
      </c>
      <c r="G857" s="35">
        <v>100</v>
      </c>
      <c r="H857" s="43">
        <v>600</v>
      </c>
      <c r="I857" s="35">
        <v>695</v>
      </c>
      <c r="J857" s="35">
        <v>50</v>
      </c>
      <c r="K857" s="36"/>
      <c r="L857" s="36"/>
      <c r="M857" s="36"/>
      <c r="N857" s="36"/>
      <c r="O857" s="36"/>
      <c r="P857" s="36"/>
      <c r="Q857" s="36"/>
      <c r="R857" s="36"/>
      <c r="S857" s="36"/>
      <c r="T857" s="36"/>
    </row>
    <row r="858" spans="1:20" ht="15.75">
      <c r="A858" s="13">
        <v>67631</v>
      </c>
      <c r="B858" s="44">
        <f t="shared" si="4"/>
        <v>28</v>
      </c>
      <c r="C858" s="35">
        <v>122.58</v>
      </c>
      <c r="D858" s="35">
        <v>297.94099999999997</v>
      </c>
      <c r="E858" s="41">
        <v>729.47900000000004</v>
      </c>
      <c r="F858" s="35">
        <v>1150</v>
      </c>
      <c r="G858" s="35">
        <v>100</v>
      </c>
      <c r="H858" s="43">
        <v>600</v>
      </c>
      <c r="I858" s="35">
        <v>695</v>
      </c>
      <c r="J858" s="35">
        <v>50</v>
      </c>
      <c r="K858" s="36"/>
      <c r="L858" s="36"/>
      <c r="M858" s="36"/>
      <c r="N858" s="36"/>
      <c r="O858" s="36"/>
      <c r="P858" s="36"/>
      <c r="Q858" s="36"/>
      <c r="R858" s="36"/>
      <c r="S858" s="36"/>
      <c r="T858" s="36"/>
    </row>
    <row r="859" spans="1:20" ht="15.75">
      <c r="A859" s="13">
        <v>67662</v>
      </c>
      <c r="B859" s="44">
        <f t="shared" si="4"/>
        <v>31</v>
      </c>
      <c r="C859" s="35">
        <v>122.58</v>
      </c>
      <c r="D859" s="35">
        <v>297.94099999999997</v>
      </c>
      <c r="E859" s="41">
        <v>729.47900000000004</v>
      </c>
      <c r="F859" s="35">
        <v>1150</v>
      </c>
      <c r="G859" s="35">
        <v>100</v>
      </c>
      <c r="H859" s="43">
        <v>600</v>
      </c>
      <c r="I859" s="35">
        <v>695</v>
      </c>
      <c r="J859" s="35">
        <v>50</v>
      </c>
      <c r="K859" s="36"/>
      <c r="L859" s="36"/>
      <c r="M859" s="36"/>
      <c r="N859" s="36"/>
      <c r="O859" s="36"/>
      <c r="P859" s="36"/>
      <c r="Q859" s="36"/>
      <c r="R859" s="36"/>
      <c r="S859" s="36"/>
      <c r="T859" s="36"/>
    </row>
    <row r="860" spans="1:20" ht="15.75">
      <c r="A860" s="13">
        <v>67692</v>
      </c>
      <c r="B860" s="44">
        <f t="shared" si="4"/>
        <v>30</v>
      </c>
      <c r="C860" s="35">
        <v>141.29300000000001</v>
      </c>
      <c r="D860" s="35">
        <v>267.99299999999999</v>
      </c>
      <c r="E860" s="41">
        <v>829.71400000000006</v>
      </c>
      <c r="F860" s="35">
        <v>1239</v>
      </c>
      <c r="G860" s="35">
        <v>100</v>
      </c>
      <c r="H860" s="43">
        <v>600</v>
      </c>
      <c r="I860" s="35">
        <v>695</v>
      </c>
      <c r="J860" s="35">
        <v>50</v>
      </c>
      <c r="K860" s="36"/>
      <c r="L860" s="36"/>
      <c r="M860" s="36"/>
      <c r="N860" s="36"/>
      <c r="O860" s="36"/>
      <c r="P860" s="36"/>
      <c r="Q860" s="36"/>
      <c r="R860" s="36"/>
      <c r="S860" s="36"/>
      <c r="T860" s="36"/>
    </row>
    <row r="861" spans="1:20" ht="15.75">
      <c r="A861" s="13">
        <v>67723</v>
      </c>
      <c r="B861" s="44">
        <f t="shared" si="4"/>
        <v>31</v>
      </c>
      <c r="C861" s="35">
        <v>194.20500000000001</v>
      </c>
      <c r="D861" s="35">
        <v>267.46600000000001</v>
      </c>
      <c r="E861" s="41">
        <v>812.32899999999995</v>
      </c>
      <c r="F861" s="35">
        <v>1274</v>
      </c>
      <c r="G861" s="35">
        <v>75</v>
      </c>
      <c r="H861" s="43">
        <v>600</v>
      </c>
      <c r="I861" s="35">
        <v>695</v>
      </c>
      <c r="J861" s="35">
        <v>50</v>
      </c>
      <c r="K861" s="36"/>
      <c r="L861" s="36"/>
      <c r="M861" s="36"/>
      <c r="N861" s="36"/>
      <c r="O861" s="36"/>
      <c r="P861" s="36"/>
      <c r="Q861" s="36"/>
      <c r="R861" s="36"/>
      <c r="S861" s="36"/>
      <c r="T861" s="36"/>
    </row>
    <row r="862" spans="1:20" ht="15.75">
      <c r="A862" s="13">
        <v>67753</v>
      </c>
      <c r="B862" s="44">
        <f t="shared" si="4"/>
        <v>30</v>
      </c>
      <c r="C862" s="35">
        <v>194.20500000000001</v>
      </c>
      <c r="D862" s="35">
        <v>267.46600000000001</v>
      </c>
      <c r="E862" s="41">
        <v>812.32899999999995</v>
      </c>
      <c r="F862" s="35">
        <v>1274</v>
      </c>
      <c r="G862" s="35">
        <v>50</v>
      </c>
      <c r="H862" s="43">
        <v>600</v>
      </c>
      <c r="I862" s="35">
        <v>695</v>
      </c>
      <c r="J862" s="35">
        <v>50</v>
      </c>
      <c r="K862" s="36"/>
      <c r="L862" s="36"/>
      <c r="M862" s="36"/>
      <c r="N862" s="36"/>
      <c r="O862" s="36"/>
      <c r="P862" s="36"/>
      <c r="Q862" s="36"/>
      <c r="R862" s="36"/>
      <c r="S862" s="36"/>
      <c r="T862" s="36"/>
    </row>
    <row r="863" spans="1:20" ht="15.75">
      <c r="A863" s="13">
        <v>67784</v>
      </c>
      <c r="B863" s="44">
        <f t="shared" si="4"/>
        <v>31</v>
      </c>
      <c r="C863" s="35">
        <v>194.20500000000001</v>
      </c>
      <c r="D863" s="35">
        <v>267.46600000000001</v>
      </c>
      <c r="E863" s="41">
        <v>812.32899999999995</v>
      </c>
      <c r="F863" s="35">
        <v>1274</v>
      </c>
      <c r="G863" s="35">
        <v>50</v>
      </c>
      <c r="H863" s="43">
        <v>600</v>
      </c>
      <c r="I863" s="35">
        <v>695</v>
      </c>
      <c r="J863" s="35">
        <v>0</v>
      </c>
      <c r="K863" s="36"/>
      <c r="L863" s="36"/>
      <c r="M863" s="36"/>
      <c r="N863" s="36"/>
      <c r="O863" s="36"/>
      <c r="P863" s="36"/>
      <c r="Q863" s="36"/>
      <c r="R863" s="36"/>
      <c r="S863" s="36"/>
      <c r="T863" s="36"/>
    </row>
    <row r="864" spans="1:20" ht="15.75">
      <c r="A864" s="13">
        <v>67815</v>
      </c>
      <c r="B864" s="44">
        <f t="shared" si="4"/>
        <v>31</v>
      </c>
      <c r="C864" s="35">
        <v>194.20500000000001</v>
      </c>
      <c r="D864" s="35">
        <v>267.46600000000001</v>
      </c>
      <c r="E864" s="41">
        <v>812.32899999999995</v>
      </c>
      <c r="F864" s="35">
        <v>1274</v>
      </c>
      <c r="G864" s="35">
        <v>50</v>
      </c>
      <c r="H864" s="43">
        <v>600</v>
      </c>
      <c r="I864" s="35">
        <v>695</v>
      </c>
      <c r="J864" s="35">
        <v>0</v>
      </c>
      <c r="K864" s="36"/>
      <c r="L864" s="36"/>
      <c r="M864" s="36"/>
      <c r="N864" s="36"/>
      <c r="O864" s="36"/>
      <c r="P864" s="36"/>
      <c r="Q864" s="36"/>
      <c r="R864" s="36"/>
      <c r="S864" s="36"/>
      <c r="T864" s="36"/>
    </row>
    <row r="865" spans="1:20" ht="15.75">
      <c r="A865" s="13">
        <v>67845</v>
      </c>
      <c r="B865" s="44">
        <f t="shared" si="4"/>
        <v>30</v>
      </c>
      <c r="C865" s="35">
        <v>194.20500000000001</v>
      </c>
      <c r="D865" s="35">
        <v>267.46600000000001</v>
      </c>
      <c r="E865" s="41">
        <v>812.32899999999995</v>
      </c>
      <c r="F865" s="35">
        <v>1274</v>
      </c>
      <c r="G865" s="35">
        <v>50</v>
      </c>
      <c r="H865" s="43">
        <v>600</v>
      </c>
      <c r="I865" s="35">
        <v>695</v>
      </c>
      <c r="J865" s="35">
        <v>0</v>
      </c>
      <c r="K865" s="36"/>
      <c r="L865" s="36"/>
      <c r="M865" s="36"/>
      <c r="N865" s="36"/>
      <c r="O865" s="36"/>
      <c r="P865" s="36"/>
      <c r="Q865" s="36"/>
      <c r="R865" s="36"/>
      <c r="S865" s="36"/>
      <c r="T865" s="36"/>
    </row>
    <row r="866" spans="1:20" ht="15.75">
      <c r="A866" s="13">
        <v>67876</v>
      </c>
      <c r="B866" s="44">
        <f t="shared" si="4"/>
        <v>31</v>
      </c>
      <c r="C866" s="35">
        <v>131.881</v>
      </c>
      <c r="D866" s="35">
        <v>277.16699999999997</v>
      </c>
      <c r="E866" s="41">
        <v>829.952</v>
      </c>
      <c r="F866" s="35">
        <v>1239</v>
      </c>
      <c r="G866" s="35">
        <v>75</v>
      </c>
      <c r="H866" s="43">
        <v>600</v>
      </c>
      <c r="I866" s="35">
        <v>695</v>
      </c>
      <c r="J866" s="35">
        <v>0</v>
      </c>
      <c r="K866" s="36"/>
      <c r="L866" s="36"/>
      <c r="M866" s="36"/>
      <c r="N866" s="36"/>
      <c r="O866" s="36"/>
      <c r="P866" s="36"/>
      <c r="Q866" s="36"/>
      <c r="R866" s="36"/>
      <c r="S866" s="36"/>
      <c r="T866" s="36"/>
    </row>
    <row r="867" spans="1:20" ht="15.75">
      <c r="A867" s="13">
        <v>67906</v>
      </c>
      <c r="B867" s="44">
        <f t="shared" si="4"/>
        <v>30</v>
      </c>
      <c r="C867" s="35">
        <v>122.58</v>
      </c>
      <c r="D867" s="35">
        <v>297.94099999999997</v>
      </c>
      <c r="E867" s="41">
        <v>729.47900000000004</v>
      </c>
      <c r="F867" s="35">
        <v>1150</v>
      </c>
      <c r="G867" s="35">
        <v>100</v>
      </c>
      <c r="H867" s="43">
        <v>600</v>
      </c>
      <c r="I867" s="35">
        <v>695</v>
      </c>
      <c r="J867" s="35">
        <v>50</v>
      </c>
      <c r="K867" s="36"/>
      <c r="L867" s="36"/>
      <c r="M867" s="36"/>
      <c r="N867" s="36"/>
      <c r="O867" s="36"/>
      <c r="P867" s="36"/>
      <c r="Q867" s="36"/>
      <c r="R867" s="36"/>
      <c r="S867" s="36"/>
      <c r="T867" s="36"/>
    </row>
    <row r="868" spans="1:20" ht="15.75">
      <c r="A868" s="13">
        <v>67937</v>
      </c>
      <c r="B868" s="44">
        <f t="shared" si="4"/>
        <v>31</v>
      </c>
      <c r="C868" s="35">
        <v>122.58</v>
      </c>
      <c r="D868" s="35">
        <v>297.94099999999997</v>
      </c>
      <c r="E868" s="41">
        <v>729.47900000000004</v>
      </c>
      <c r="F868" s="35">
        <v>1150</v>
      </c>
      <c r="G868" s="35">
        <v>100</v>
      </c>
      <c r="H868" s="43">
        <v>600</v>
      </c>
      <c r="I868" s="35">
        <v>695</v>
      </c>
      <c r="J868" s="35">
        <v>50</v>
      </c>
      <c r="K868" s="36"/>
      <c r="L868" s="36"/>
      <c r="M868" s="36"/>
      <c r="N868" s="36"/>
      <c r="O868" s="36"/>
      <c r="P868" s="36"/>
      <c r="Q868" s="36"/>
      <c r="R868" s="36"/>
      <c r="S868" s="36"/>
      <c r="T868" s="36"/>
    </row>
    <row r="869" spans="1:20" ht="15.75">
      <c r="A869" s="13">
        <v>67968</v>
      </c>
      <c r="B869" s="44">
        <f t="shared" si="4"/>
        <v>31</v>
      </c>
      <c r="C869" s="35">
        <v>122.58</v>
      </c>
      <c r="D869" s="35">
        <v>297.94099999999997</v>
      </c>
      <c r="E869" s="41">
        <v>729.47900000000004</v>
      </c>
      <c r="F869" s="35">
        <v>1150</v>
      </c>
      <c r="G869" s="35">
        <v>100</v>
      </c>
      <c r="H869" s="43">
        <v>600</v>
      </c>
      <c r="I869" s="35">
        <v>695</v>
      </c>
      <c r="J869" s="35">
        <v>50</v>
      </c>
      <c r="K869" s="36"/>
      <c r="L869" s="36"/>
      <c r="M869" s="36"/>
      <c r="N869" s="36"/>
      <c r="O869" s="36"/>
      <c r="P869" s="36"/>
      <c r="Q869" s="36"/>
      <c r="R869" s="36"/>
      <c r="S869" s="36"/>
      <c r="T869" s="36"/>
    </row>
    <row r="870" spans="1:20" ht="15.75">
      <c r="A870" s="13">
        <v>67996</v>
      </c>
      <c r="B870" s="44">
        <f t="shared" si="4"/>
        <v>28</v>
      </c>
      <c r="C870" s="35">
        <v>122.58</v>
      </c>
      <c r="D870" s="35">
        <v>297.94099999999997</v>
      </c>
      <c r="E870" s="41">
        <v>729.47900000000004</v>
      </c>
      <c r="F870" s="35">
        <v>1150</v>
      </c>
      <c r="G870" s="35">
        <v>100</v>
      </c>
      <c r="H870" s="43">
        <v>600</v>
      </c>
      <c r="I870" s="35">
        <v>695</v>
      </c>
      <c r="J870" s="35">
        <v>50</v>
      </c>
      <c r="K870" s="36"/>
      <c r="L870" s="36"/>
      <c r="M870" s="36"/>
      <c r="N870" s="36"/>
      <c r="O870" s="36"/>
      <c r="P870" s="36"/>
      <c r="Q870" s="36"/>
      <c r="R870" s="36"/>
      <c r="S870" s="36"/>
      <c r="T870" s="36"/>
    </row>
    <row r="871" spans="1:20" ht="15.75">
      <c r="A871" s="13">
        <v>68027</v>
      </c>
      <c r="B871" s="44">
        <f t="shared" si="4"/>
        <v>31</v>
      </c>
      <c r="C871" s="35">
        <v>122.58</v>
      </c>
      <c r="D871" s="35">
        <v>297.94099999999997</v>
      </c>
      <c r="E871" s="41">
        <v>729.47900000000004</v>
      </c>
      <c r="F871" s="35">
        <v>1150</v>
      </c>
      <c r="G871" s="35">
        <v>100</v>
      </c>
      <c r="H871" s="43">
        <v>600</v>
      </c>
      <c r="I871" s="35">
        <v>695</v>
      </c>
      <c r="J871" s="35">
        <v>50</v>
      </c>
      <c r="K871" s="36"/>
      <c r="L871" s="36"/>
      <c r="M871" s="36"/>
      <c r="N871" s="36"/>
      <c r="O871" s="36"/>
      <c r="P871" s="36"/>
      <c r="Q871" s="36"/>
      <c r="R871" s="36"/>
      <c r="S871" s="36"/>
      <c r="T871" s="36"/>
    </row>
    <row r="872" spans="1:20" ht="15.75">
      <c r="A872" s="13">
        <v>68057</v>
      </c>
      <c r="B872" s="44">
        <f t="shared" si="4"/>
        <v>30</v>
      </c>
      <c r="C872" s="35">
        <v>141.29300000000001</v>
      </c>
      <c r="D872" s="35">
        <v>267.99299999999999</v>
      </c>
      <c r="E872" s="41">
        <v>829.71400000000006</v>
      </c>
      <c r="F872" s="35">
        <v>1239</v>
      </c>
      <c r="G872" s="35">
        <v>100</v>
      </c>
      <c r="H872" s="43">
        <v>600</v>
      </c>
      <c r="I872" s="35">
        <v>695</v>
      </c>
      <c r="J872" s="35">
        <v>50</v>
      </c>
      <c r="K872" s="36"/>
      <c r="L872" s="36"/>
      <c r="M872" s="36"/>
      <c r="N872" s="36"/>
      <c r="O872" s="36"/>
      <c r="P872" s="36"/>
      <c r="Q872" s="36"/>
      <c r="R872" s="36"/>
      <c r="S872" s="36"/>
      <c r="T872" s="36"/>
    </row>
    <row r="873" spans="1:20" ht="15.75">
      <c r="A873" s="13">
        <v>68088</v>
      </c>
      <c r="B873" s="44">
        <f t="shared" si="4"/>
        <v>31</v>
      </c>
      <c r="C873" s="35">
        <v>194.20500000000001</v>
      </c>
      <c r="D873" s="35">
        <v>267.46600000000001</v>
      </c>
      <c r="E873" s="41">
        <v>812.32899999999995</v>
      </c>
      <c r="F873" s="35">
        <v>1274</v>
      </c>
      <c r="G873" s="35">
        <v>75</v>
      </c>
      <c r="H873" s="43">
        <v>600</v>
      </c>
      <c r="I873" s="35">
        <v>695</v>
      </c>
      <c r="J873" s="35">
        <v>50</v>
      </c>
      <c r="K873" s="36"/>
      <c r="L873" s="36"/>
      <c r="M873" s="36"/>
      <c r="N873" s="36"/>
      <c r="O873" s="36"/>
      <c r="P873" s="36"/>
      <c r="Q873" s="36"/>
      <c r="R873" s="36"/>
      <c r="S873" s="36"/>
      <c r="T873" s="36"/>
    </row>
    <row r="874" spans="1:20" ht="15.75">
      <c r="A874" s="13">
        <v>68118</v>
      </c>
      <c r="B874" s="44">
        <f t="shared" si="4"/>
        <v>30</v>
      </c>
      <c r="C874" s="35">
        <v>194.20500000000001</v>
      </c>
      <c r="D874" s="35">
        <v>267.46600000000001</v>
      </c>
      <c r="E874" s="41">
        <v>812.32899999999995</v>
      </c>
      <c r="F874" s="35">
        <v>1274</v>
      </c>
      <c r="G874" s="35">
        <v>50</v>
      </c>
      <c r="H874" s="43">
        <v>600</v>
      </c>
      <c r="I874" s="35">
        <v>695</v>
      </c>
      <c r="J874" s="35">
        <v>50</v>
      </c>
      <c r="K874" s="36"/>
      <c r="L874" s="36"/>
      <c r="M874" s="36"/>
      <c r="N874" s="36"/>
      <c r="O874" s="36"/>
      <c r="P874" s="36"/>
      <c r="Q874" s="36"/>
      <c r="R874" s="36"/>
      <c r="S874" s="36"/>
      <c r="T874" s="36"/>
    </row>
    <row r="875" spans="1:20" ht="15.75">
      <c r="A875" s="13">
        <v>68149</v>
      </c>
      <c r="B875" s="44">
        <f t="shared" si="4"/>
        <v>31</v>
      </c>
      <c r="C875" s="35">
        <v>194.20500000000001</v>
      </c>
      <c r="D875" s="35">
        <v>267.46600000000001</v>
      </c>
      <c r="E875" s="41">
        <v>812.32899999999995</v>
      </c>
      <c r="F875" s="35">
        <v>1274</v>
      </c>
      <c r="G875" s="35">
        <v>50</v>
      </c>
      <c r="H875" s="43">
        <v>600</v>
      </c>
      <c r="I875" s="35">
        <v>695</v>
      </c>
      <c r="J875" s="35">
        <v>0</v>
      </c>
      <c r="K875" s="36"/>
      <c r="L875" s="36"/>
      <c r="M875" s="36"/>
      <c r="N875" s="36"/>
      <c r="O875" s="36"/>
      <c r="P875" s="36"/>
      <c r="Q875" s="36"/>
      <c r="R875" s="36"/>
      <c r="S875" s="36"/>
      <c r="T875" s="36"/>
    </row>
    <row r="876" spans="1:20" ht="15.75">
      <c r="A876" s="13">
        <v>68180</v>
      </c>
      <c r="B876" s="44">
        <f t="shared" si="4"/>
        <v>31</v>
      </c>
      <c r="C876" s="35">
        <v>194.20500000000001</v>
      </c>
      <c r="D876" s="35">
        <v>267.46600000000001</v>
      </c>
      <c r="E876" s="41">
        <v>812.32899999999995</v>
      </c>
      <c r="F876" s="35">
        <v>1274</v>
      </c>
      <c r="G876" s="35">
        <v>50</v>
      </c>
      <c r="H876" s="43">
        <v>600</v>
      </c>
      <c r="I876" s="35">
        <v>695</v>
      </c>
      <c r="J876" s="35">
        <v>0</v>
      </c>
      <c r="K876" s="36"/>
      <c r="L876" s="36"/>
      <c r="M876" s="36"/>
      <c r="N876" s="36"/>
      <c r="O876" s="36"/>
      <c r="P876" s="36"/>
      <c r="Q876" s="36"/>
      <c r="R876" s="36"/>
      <c r="S876" s="36"/>
      <c r="T876" s="36"/>
    </row>
    <row r="877" spans="1:20" ht="15.75">
      <c r="A877" s="13">
        <v>68210</v>
      </c>
      <c r="B877" s="44">
        <f t="shared" si="4"/>
        <v>30</v>
      </c>
      <c r="C877" s="35">
        <v>194.20500000000001</v>
      </c>
      <c r="D877" s="35">
        <v>267.46600000000001</v>
      </c>
      <c r="E877" s="41">
        <v>812.32899999999995</v>
      </c>
      <c r="F877" s="35">
        <v>1274</v>
      </c>
      <c r="G877" s="35">
        <v>50</v>
      </c>
      <c r="H877" s="43">
        <v>600</v>
      </c>
      <c r="I877" s="35">
        <v>695</v>
      </c>
      <c r="J877" s="35">
        <v>0</v>
      </c>
      <c r="K877" s="36"/>
      <c r="L877" s="36"/>
      <c r="M877" s="36"/>
      <c r="N877" s="36"/>
      <c r="O877" s="36"/>
      <c r="P877" s="36"/>
      <c r="Q877" s="36"/>
      <c r="R877" s="36"/>
      <c r="S877" s="36"/>
      <c r="T877" s="36"/>
    </row>
    <row r="878" spans="1:20" ht="15.75">
      <c r="A878" s="13">
        <v>68241</v>
      </c>
      <c r="B878" s="44">
        <f t="shared" si="4"/>
        <v>31</v>
      </c>
      <c r="C878" s="35">
        <v>131.881</v>
      </c>
      <c r="D878" s="35">
        <v>277.16699999999997</v>
      </c>
      <c r="E878" s="41">
        <v>829.952</v>
      </c>
      <c r="F878" s="35">
        <v>1239</v>
      </c>
      <c r="G878" s="35">
        <v>75</v>
      </c>
      <c r="H878" s="43">
        <v>600</v>
      </c>
      <c r="I878" s="35">
        <v>695</v>
      </c>
      <c r="J878" s="35">
        <v>0</v>
      </c>
      <c r="K878" s="36"/>
      <c r="L878" s="36"/>
      <c r="M878" s="36"/>
      <c r="N878" s="36"/>
      <c r="O878" s="36"/>
      <c r="P878" s="36"/>
      <c r="Q878" s="36"/>
      <c r="R878" s="36"/>
      <c r="S878" s="36"/>
      <c r="T878" s="36"/>
    </row>
    <row r="879" spans="1:20" ht="15.75">
      <c r="A879" s="13">
        <v>68271</v>
      </c>
      <c r="B879" s="44">
        <f t="shared" si="4"/>
        <v>30</v>
      </c>
      <c r="C879" s="35">
        <v>122.58</v>
      </c>
      <c r="D879" s="35">
        <v>297.94099999999997</v>
      </c>
      <c r="E879" s="41">
        <v>729.47900000000004</v>
      </c>
      <c r="F879" s="35">
        <v>1150</v>
      </c>
      <c r="G879" s="35">
        <v>100</v>
      </c>
      <c r="H879" s="43">
        <v>600</v>
      </c>
      <c r="I879" s="35">
        <v>695</v>
      </c>
      <c r="J879" s="35">
        <v>50</v>
      </c>
      <c r="K879" s="36"/>
      <c r="L879" s="36"/>
      <c r="M879" s="36"/>
      <c r="N879" s="36"/>
      <c r="O879" s="36"/>
      <c r="P879" s="36"/>
      <c r="Q879" s="36"/>
      <c r="R879" s="36"/>
      <c r="S879" s="36"/>
      <c r="T879" s="36"/>
    </row>
    <row r="880" spans="1:20" ht="15.75">
      <c r="A880" s="13">
        <v>68302</v>
      </c>
      <c r="B880" s="44">
        <f t="shared" si="4"/>
        <v>31</v>
      </c>
      <c r="C880" s="35">
        <v>122.58</v>
      </c>
      <c r="D880" s="35">
        <v>297.94099999999997</v>
      </c>
      <c r="E880" s="41">
        <v>729.47900000000004</v>
      </c>
      <c r="F880" s="35">
        <v>1150</v>
      </c>
      <c r="G880" s="35">
        <v>100</v>
      </c>
      <c r="H880" s="43">
        <v>600</v>
      </c>
      <c r="I880" s="35">
        <v>695</v>
      </c>
      <c r="J880" s="35">
        <v>50</v>
      </c>
      <c r="K880" s="36"/>
      <c r="L880" s="36"/>
      <c r="M880" s="36"/>
      <c r="N880" s="36"/>
      <c r="O880" s="36"/>
      <c r="P880" s="36"/>
      <c r="Q880" s="36"/>
      <c r="R880" s="36"/>
      <c r="S880" s="36"/>
      <c r="T880" s="36"/>
    </row>
    <row r="881" spans="1:20" ht="15.75">
      <c r="A881" s="13">
        <v>68333</v>
      </c>
      <c r="B881" s="44">
        <f t="shared" si="4"/>
        <v>31</v>
      </c>
      <c r="C881" s="35">
        <v>122.58</v>
      </c>
      <c r="D881" s="35">
        <v>297.94099999999997</v>
      </c>
      <c r="E881" s="41">
        <v>729.47900000000004</v>
      </c>
      <c r="F881" s="35">
        <v>1150</v>
      </c>
      <c r="G881" s="35">
        <v>100</v>
      </c>
      <c r="H881" s="43">
        <v>600</v>
      </c>
      <c r="I881" s="35">
        <v>695</v>
      </c>
      <c r="J881" s="35">
        <v>50</v>
      </c>
      <c r="K881" s="36"/>
      <c r="L881" s="36"/>
      <c r="M881" s="36"/>
      <c r="N881" s="36"/>
      <c r="O881" s="36"/>
      <c r="P881" s="36"/>
      <c r="Q881" s="36"/>
      <c r="R881" s="36"/>
      <c r="S881" s="36"/>
      <c r="T881" s="36"/>
    </row>
    <row r="882" spans="1:20" ht="15.75">
      <c r="A882" s="13">
        <v>68361</v>
      </c>
      <c r="B882" s="44">
        <f t="shared" si="4"/>
        <v>28</v>
      </c>
      <c r="C882" s="35">
        <v>122.58</v>
      </c>
      <c r="D882" s="35">
        <v>297.94099999999997</v>
      </c>
      <c r="E882" s="41">
        <v>729.47900000000004</v>
      </c>
      <c r="F882" s="35">
        <v>1150</v>
      </c>
      <c r="G882" s="35">
        <v>100</v>
      </c>
      <c r="H882" s="43">
        <v>600</v>
      </c>
      <c r="I882" s="35">
        <v>695</v>
      </c>
      <c r="J882" s="35">
        <v>50</v>
      </c>
      <c r="K882" s="36"/>
      <c r="L882" s="36"/>
      <c r="M882" s="36"/>
      <c r="N882" s="36"/>
      <c r="O882" s="36"/>
      <c r="P882" s="36"/>
      <c r="Q882" s="36"/>
      <c r="R882" s="36"/>
      <c r="S882" s="36"/>
      <c r="T882" s="36"/>
    </row>
    <row r="883" spans="1:20" ht="15.75">
      <c r="A883" s="13">
        <v>68392</v>
      </c>
      <c r="B883" s="44">
        <f t="shared" si="4"/>
        <v>31</v>
      </c>
      <c r="C883" s="35">
        <v>122.58</v>
      </c>
      <c r="D883" s="35">
        <v>297.94099999999997</v>
      </c>
      <c r="E883" s="41">
        <v>729.47900000000004</v>
      </c>
      <c r="F883" s="35">
        <v>1150</v>
      </c>
      <c r="G883" s="35">
        <v>100</v>
      </c>
      <c r="H883" s="43">
        <v>600</v>
      </c>
      <c r="I883" s="35">
        <v>695</v>
      </c>
      <c r="J883" s="35">
        <v>50</v>
      </c>
      <c r="K883" s="36"/>
      <c r="L883" s="36"/>
      <c r="M883" s="36"/>
      <c r="N883" s="36"/>
      <c r="O883" s="36"/>
      <c r="P883" s="36"/>
      <c r="Q883" s="36"/>
      <c r="R883" s="36"/>
      <c r="S883" s="36"/>
      <c r="T883" s="36"/>
    </row>
    <row r="884" spans="1:20" ht="15.75">
      <c r="A884" s="13">
        <v>68422</v>
      </c>
      <c r="B884" s="44">
        <f t="shared" si="4"/>
        <v>30</v>
      </c>
      <c r="C884" s="35">
        <v>141.29300000000001</v>
      </c>
      <c r="D884" s="35">
        <v>267.99299999999999</v>
      </c>
      <c r="E884" s="41">
        <v>829.71400000000006</v>
      </c>
      <c r="F884" s="35">
        <v>1239</v>
      </c>
      <c r="G884" s="35">
        <v>100</v>
      </c>
      <c r="H884" s="43">
        <v>600</v>
      </c>
      <c r="I884" s="35">
        <v>695</v>
      </c>
      <c r="J884" s="35">
        <v>50</v>
      </c>
      <c r="K884" s="36"/>
      <c r="L884" s="36"/>
      <c r="M884" s="36"/>
      <c r="N884" s="36"/>
      <c r="O884" s="36"/>
      <c r="P884" s="36"/>
      <c r="Q884" s="36"/>
      <c r="R884" s="36"/>
      <c r="S884" s="36"/>
      <c r="T884" s="36"/>
    </row>
    <row r="885" spans="1:20" ht="15.75">
      <c r="A885" s="13">
        <v>68453</v>
      </c>
      <c r="B885" s="44">
        <f t="shared" si="4"/>
        <v>31</v>
      </c>
      <c r="C885" s="35">
        <v>194.20500000000001</v>
      </c>
      <c r="D885" s="35">
        <v>267.46600000000001</v>
      </c>
      <c r="E885" s="41">
        <v>812.32899999999995</v>
      </c>
      <c r="F885" s="35">
        <v>1274</v>
      </c>
      <c r="G885" s="35">
        <v>75</v>
      </c>
      <c r="H885" s="43">
        <v>600</v>
      </c>
      <c r="I885" s="35">
        <v>695</v>
      </c>
      <c r="J885" s="35">
        <v>50</v>
      </c>
      <c r="K885" s="36"/>
      <c r="L885" s="36"/>
      <c r="M885" s="36"/>
      <c r="N885" s="36"/>
      <c r="O885" s="36"/>
      <c r="P885" s="36"/>
      <c r="Q885" s="36"/>
      <c r="R885" s="36"/>
      <c r="S885" s="36"/>
      <c r="T885" s="36"/>
    </row>
    <row r="886" spans="1:20" ht="15.75">
      <c r="A886" s="13">
        <v>68483</v>
      </c>
      <c r="B886" s="44">
        <f t="shared" si="4"/>
        <v>30</v>
      </c>
      <c r="C886" s="35">
        <v>194.20500000000001</v>
      </c>
      <c r="D886" s="35">
        <v>267.46600000000001</v>
      </c>
      <c r="E886" s="41">
        <v>812.32899999999995</v>
      </c>
      <c r="F886" s="35">
        <v>1274</v>
      </c>
      <c r="G886" s="35">
        <v>50</v>
      </c>
      <c r="H886" s="43">
        <v>600</v>
      </c>
      <c r="I886" s="35">
        <v>695</v>
      </c>
      <c r="J886" s="35">
        <v>50</v>
      </c>
      <c r="K886" s="36"/>
      <c r="L886" s="36"/>
      <c r="M886" s="36"/>
      <c r="N886" s="36"/>
      <c r="O886" s="36"/>
      <c r="P886" s="36"/>
      <c r="Q886" s="36"/>
      <c r="R886" s="36"/>
      <c r="S886" s="36"/>
      <c r="T886" s="36"/>
    </row>
    <row r="887" spans="1:20" ht="15.75">
      <c r="A887" s="13">
        <v>68514</v>
      </c>
      <c r="B887" s="44">
        <f t="shared" si="4"/>
        <v>31</v>
      </c>
      <c r="C887" s="35">
        <v>194.20500000000001</v>
      </c>
      <c r="D887" s="35">
        <v>267.46600000000001</v>
      </c>
      <c r="E887" s="41">
        <v>812.32899999999995</v>
      </c>
      <c r="F887" s="35">
        <v>1274</v>
      </c>
      <c r="G887" s="35">
        <v>50</v>
      </c>
      <c r="H887" s="43">
        <v>600</v>
      </c>
      <c r="I887" s="35">
        <v>695</v>
      </c>
      <c r="J887" s="35">
        <v>0</v>
      </c>
      <c r="K887" s="36"/>
      <c r="L887" s="36"/>
      <c r="M887" s="36"/>
      <c r="N887" s="36"/>
      <c r="O887" s="36"/>
      <c r="P887" s="36"/>
      <c r="Q887" s="36"/>
      <c r="R887" s="36"/>
      <c r="S887" s="36"/>
      <c r="T887" s="36"/>
    </row>
    <row r="888" spans="1:20" ht="15.75">
      <c r="A888" s="13">
        <v>68545</v>
      </c>
      <c r="B888" s="44">
        <f t="shared" si="4"/>
        <v>31</v>
      </c>
      <c r="C888" s="35">
        <v>194.20500000000001</v>
      </c>
      <c r="D888" s="35">
        <v>267.46600000000001</v>
      </c>
      <c r="E888" s="41">
        <v>812.32899999999995</v>
      </c>
      <c r="F888" s="35">
        <v>1274</v>
      </c>
      <c r="G888" s="35">
        <v>50</v>
      </c>
      <c r="H888" s="43">
        <v>600</v>
      </c>
      <c r="I888" s="35">
        <v>695</v>
      </c>
      <c r="J888" s="35">
        <v>0</v>
      </c>
      <c r="K888" s="36"/>
      <c r="L888" s="36"/>
      <c r="M888" s="36"/>
      <c r="N888" s="36"/>
      <c r="O888" s="36"/>
      <c r="P888" s="36"/>
      <c r="Q888" s="36"/>
      <c r="R888" s="36"/>
      <c r="S888" s="36"/>
      <c r="T888" s="36"/>
    </row>
    <row r="889" spans="1:20" ht="15.75">
      <c r="A889" s="13">
        <v>68575</v>
      </c>
      <c r="B889" s="44">
        <f t="shared" si="4"/>
        <v>30</v>
      </c>
      <c r="C889" s="35">
        <v>194.20500000000001</v>
      </c>
      <c r="D889" s="35">
        <v>267.46600000000001</v>
      </c>
      <c r="E889" s="41">
        <v>812.32899999999995</v>
      </c>
      <c r="F889" s="35">
        <v>1274</v>
      </c>
      <c r="G889" s="35">
        <v>50</v>
      </c>
      <c r="H889" s="43">
        <v>600</v>
      </c>
      <c r="I889" s="35">
        <v>695</v>
      </c>
      <c r="J889" s="35">
        <v>0</v>
      </c>
      <c r="K889" s="36"/>
      <c r="L889" s="36"/>
      <c r="M889" s="36"/>
      <c r="N889" s="36"/>
      <c r="O889" s="36"/>
      <c r="P889" s="36"/>
      <c r="Q889" s="36"/>
      <c r="R889" s="36"/>
      <c r="S889" s="36"/>
      <c r="T889" s="36"/>
    </row>
    <row r="890" spans="1:20" ht="15.75">
      <c r="A890" s="13">
        <v>68606</v>
      </c>
      <c r="B890" s="44">
        <f t="shared" si="4"/>
        <v>31</v>
      </c>
      <c r="C890" s="35">
        <v>131.881</v>
      </c>
      <c r="D890" s="35">
        <v>277.16699999999997</v>
      </c>
      <c r="E890" s="41">
        <v>829.952</v>
      </c>
      <c r="F890" s="35">
        <v>1239</v>
      </c>
      <c r="G890" s="35">
        <v>75</v>
      </c>
      <c r="H890" s="43">
        <v>600</v>
      </c>
      <c r="I890" s="35">
        <v>695</v>
      </c>
      <c r="J890" s="35">
        <v>0</v>
      </c>
      <c r="K890" s="36"/>
      <c r="L890" s="36"/>
      <c r="M890" s="36"/>
      <c r="N890" s="36"/>
      <c r="O890" s="36"/>
      <c r="P890" s="36"/>
      <c r="Q890" s="36"/>
      <c r="R890" s="36"/>
      <c r="S890" s="36"/>
      <c r="T890" s="36"/>
    </row>
    <row r="891" spans="1:20" ht="15.75">
      <c r="A891" s="13">
        <v>68636</v>
      </c>
      <c r="B891" s="44">
        <f t="shared" si="4"/>
        <v>30</v>
      </c>
      <c r="C891" s="35">
        <v>122.58</v>
      </c>
      <c r="D891" s="35">
        <v>297.94099999999997</v>
      </c>
      <c r="E891" s="41">
        <v>729.47900000000004</v>
      </c>
      <c r="F891" s="35">
        <v>1150</v>
      </c>
      <c r="G891" s="35">
        <v>100</v>
      </c>
      <c r="H891" s="43">
        <v>600</v>
      </c>
      <c r="I891" s="35">
        <v>695</v>
      </c>
      <c r="J891" s="35">
        <v>50</v>
      </c>
      <c r="K891" s="36"/>
      <c r="L891" s="36"/>
      <c r="M891" s="36"/>
      <c r="N891" s="36"/>
      <c r="O891" s="36"/>
      <c r="P891" s="36"/>
      <c r="Q891" s="36"/>
      <c r="R891" s="36"/>
      <c r="S891" s="36"/>
      <c r="T891" s="36"/>
    </row>
    <row r="892" spans="1:20" ht="15.75">
      <c r="A892" s="13">
        <v>68667</v>
      </c>
      <c r="B892" s="44">
        <f t="shared" si="4"/>
        <v>31</v>
      </c>
      <c r="C892" s="35">
        <v>122.58</v>
      </c>
      <c r="D892" s="35">
        <v>297.94099999999997</v>
      </c>
      <c r="E892" s="41">
        <v>729.47900000000004</v>
      </c>
      <c r="F892" s="35">
        <v>1150</v>
      </c>
      <c r="G892" s="35">
        <v>100</v>
      </c>
      <c r="H892" s="43">
        <v>600</v>
      </c>
      <c r="I892" s="35">
        <v>695</v>
      </c>
      <c r="J892" s="35">
        <v>50</v>
      </c>
      <c r="K892" s="36"/>
      <c r="L892" s="36"/>
      <c r="M892" s="36"/>
      <c r="N892" s="36"/>
      <c r="O892" s="36"/>
      <c r="P892" s="36"/>
      <c r="Q892" s="36"/>
      <c r="R892" s="36"/>
      <c r="S892" s="36"/>
      <c r="T892" s="36"/>
    </row>
    <row r="893" spans="1:20" ht="15.75">
      <c r="A893" s="13">
        <v>68698</v>
      </c>
      <c r="B893" s="44">
        <f t="shared" si="4"/>
        <v>31</v>
      </c>
      <c r="C893" s="35">
        <v>122.58</v>
      </c>
      <c r="D893" s="35">
        <v>297.94099999999997</v>
      </c>
      <c r="E893" s="41">
        <v>729.47900000000004</v>
      </c>
      <c r="F893" s="35">
        <v>1150</v>
      </c>
      <c r="G893" s="35">
        <v>100</v>
      </c>
      <c r="H893" s="43">
        <v>600</v>
      </c>
      <c r="I893" s="35">
        <v>695</v>
      </c>
      <c r="J893" s="35">
        <v>50</v>
      </c>
      <c r="K893" s="36"/>
      <c r="L893" s="36"/>
      <c r="M893" s="36"/>
      <c r="N893" s="36"/>
      <c r="O893" s="36"/>
      <c r="P893" s="36"/>
      <c r="Q893" s="36"/>
      <c r="R893" s="36"/>
      <c r="S893" s="36"/>
      <c r="T893" s="36"/>
    </row>
    <row r="894" spans="1:20" ht="15.75">
      <c r="A894" s="13">
        <v>68727</v>
      </c>
      <c r="B894" s="44">
        <f t="shared" si="4"/>
        <v>29</v>
      </c>
      <c r="C894" s="35">
        <v>122.58</v>
      </c>
      <c r="D894" s="35">
        <v>297.94099999999997</v>
      </c>
      <c r="E894" s="41">
        <v>729.47900000000004</v>
      </c>
      <c r="F894" s="35">
        <v>1150</v>
      </c>
      <c r="G894" s="35">
        <v>100</v>
      </c>
      <c r="H894" s="43">
        <v>600</v>
      </c>
      <c r="I894" s="35">
        <v>695</v>
      </c>
      <c r="J894" s="35">
        <v>50</v>
      </c>
      <c r="K894" s="36"/>
      <c r="L894" s="36"/>
      <c r="M894" s="36"/>
      <c r="N894" s="36"/>
      <c r="O894" s="36"/>
      <c r="P894" s="36"/>
      <c r="Q894" s="36"/>
      <c r="R894" s="36"/>
      <c r="S894" s="36"/>
      <c r="T894" s="36"/>
    </row>
    <row r="895" spans="1:20" ht="15.75">
      <c r="A895" s="13">
        <v>68758</v>
      </c>
      <c r="B895" s="44">
        <f t="shared" si="4"/>
        <v>31</v>
      </c>
      <c r="C895" s="35">
        <v>122.58</v>
      </c>
      <c r="D895" s="35">
        <v>297.94099999999997</v>
      </c>
      <c r="E895" s="41">
        <v>729.47900000000004</v>
      </c>
      <c r="F895" s="35">
        <v>1150</v>
      </c>
      <c r="G895" s="35">
        <v>100</v>
      </c>
      <c r="H895" s="43">
        <v>600</v>
      </c>
      <c r="I895" s="35">
        <v>695</v>
      </c>
      <c r="J895" s="35">
        <v>50</v>
      </c>
      <c r="K895" s="36"/>
      <c r="L895" s="36"/>
      <c r="M895" s="36"/>
      <c r="N895" s="36"/>
      <c r="O895" s="36"/>
      <c r="P895" s="36"/>
      <c r="Q895" s="36"/>
      <c r="R895" s="36"/>
      <c r="S895" s="36"/>
      <c r="T895" s="36"/>
    </row>
    <row r="896" spans="1:20" ht="15.75">
      <c r="A896" s="13">
        <v>68788</v>
      </c>
      <c r="B896" s="44">
        <f t="shared" si="4"/>
        <v>30</v>
      </c>
      <c r="C896" s="35">
        <v>141.29300000000001</v>
      </c>
      <c r="D896" s="35">
        <v>267.99299999999999</v>
      </c>
      <c r="E896" s="41">
        <v>829.71400000000006</v>
      </c>
      <c r="F896" s="35">
        <v>1239</v>
      </c>
      <c r="G896" s="35">
        <v>100</v>
      </c>
      <c r="H896" s="43">
        <v>600</v>
      </c>
      <c r="I896" s="35">
        <v>695</v>
      </c>
      <c r="J896" s="35">
        <v>50</v>
      </c>
      <c r="K896" s="36"/>
      <c r="L896" s="36"/>
      <c r="M896" s="36"/>
      <c r="N896" s="36"/>
      <c r="O896" s="36"/>
      <c r="P896" s="36"/>
      <c r="Q896" s="36"/>
      <c r="R896" s="36"/>
      <c r="S896" s="36"/>
      <c r="T896" s="36"/>
    </row>
    <row r="897" spans="1:20" ht="15.75">
      <c r="A897" s="13">
        <v>68819</v>
      </c>
      <c r="B897" s="44">
        <f t="shared" si="4"/>
        <v>31</v>
      </c>
      <c r="C897" s="35">
        <v>194.20500000000001</v>
      </c>
      <c r="D897" s="35">
        <v>267.46600000000001</v>
      </c>
      <c r="E897" s="41">
        <v>812.32899999999995</v>
      </c>
      <c r="F897" s="35">
        <v>1274</v>
      </c>
      <c r="G897" s="35">
        <v>75</v>
      </c>
      <c r="H897" s="43">
        <v>600</v>
      </c>
      <c r="I897" s="35">
        <v>695</v>
      </c>
      <c r="J897" s="35">
        <v>50</v>
      </c>
      <c r="K897" s="36"/>
      <c r="L897" s="36"/>
      <c r="M897" s="36"/>
      <c r="N897" s="36"/>
      <c r="O897" s="36"/>
      <c r="P897" s="36"/>
      <c r="Q897" s="36"/>
      <c r="R897" s="36"/>
      <c r="S897" s="36"/>
      <c r="T897" s="36"/>
    </row>
    <row r="898" spans="1:20" ht="15.75">
      <c r="A898" s="13">
        <v>68849</v>
      </c>
      <c r="B898" s="44">
        <f t="shared" si="4"/>
        <v>30</v>
      </c>
      <c r="C898" s="35">
        <v>194.20500000000001</v>
      </c>
      <c r="D898" s="35">
        <v>267.46600000000001</v>
      </c>
      <c r="E898" s="41">
        <v>812.32899999999995</v>
      </c>
      <c r="F898" s="35">
        <v>1274</v>
      </c>
      <c r="G898" s="35">
        <v>50</v>
      </c>
      <c r="H898" s="43">
        <v>600</v>
      </c>
      <c r="I898" s="35">
        <v>695</v>
      </c>
      <c r="J898" s="35">
        <v>50</v>
      </c>
      <c r="K898" s="36"/>
      <c r="L898" s="36"/>
      <c r="M898" s="36"/>
      <c r="N898" s="36"/>
      <c r="O898" s="36"/>
      <c r="P898" s="36"/>
      <c r="Q898" s="36"/>
      <c r="R898" s="36"/>
      <c r="S898" s="36"/>
      <c r="T898" s="36"/>
    </row>
    <row r="899" spans="1:20" ht="15.75">
      <c r="A899" s="13">
        <v>68880</v>
      </c>
      <c r="B899" s="44">
        <f t="shared" si="4"/>
        <v>31</v>
      </c>
      <c r="C899" s="35">
        <v>194.20500000000001</v>
      </c>
      <c r="D899" s="35">
        <v>267.46600000000001</v>
      </c>
      <c r="E899" s="41">
        <v>812.32899999999995</v>
      </c>
      <c r="F899" s="35">
        <v>1274</v>
      </c>
      <c r="G899" s="35">
        <v>50</v>
      </c>
      <c r="H899" s="43">
        <v>600</v>
      </c>
      <c r="I899" s="35">
        <v>695</v>
      </c>
      <c r="J899" s="35">
        <v>0</v>
      </c>
      <c r="K899" s="36"/>
      <c r="L899" s="36"/>
      <c r="M899" s="36"/>
      <c r="N899" s="36"/>
      <c r="O899" s="36"/>
      <c r="P899" s="36"/>
      <c r="Q899" s="36"/>
      <c r="R899" s="36"/>
      <c r="S899" s="36"/>
      <c r="T899" s="36"/>
    </row>
    <row r="900" spans="1:20" ht="15.75">
      <c r="A900" s="13">
        <v>68911</v>
      </c>
      <c r="B900" s="44">
        <f t="shared" si="4"/>
        <v>31</v>
      </c>
      <c r="C900" s="35">
        <v>194.20500000000001</v>
      </c>
      <c r="D900" s="35">
        <v>267.46600000000001</v>
      </c>
      <c r="E900" s="41">
        <v>812.32899999999995</v>
      </c>
      <c r="F900" s="35">
        <v>1274</v>
      </c>
      <c r="G900" s="35">
        <v>50</v>
      </c>
      <c r="H900" s="43">
        <v>600</v>
      </c>
      <c r="I900" s="35">
        <v>695</v>
      </c>
      <c r="J900" s="35">
        <v>0</v>
      </c>
      <c r="K900" s="36"/>
      <c r="L900" s="36"/>
      <c r="M900" s="36"/>
      <c r="N900" s="36"/>
      <c r="O900" s="36"/>
      <c r="P900" s="36"/>
      <c r="Q900" s="36"/>
      <c r="R900" s="36"/>
      <c r="S900" s="36"/>
      <c r="T900" s="36"/>
    </row>
    <row r="901" spans="1:20" ht="15.75">
      <c r="A901" s="13">
        <v>68941</v>
      </c>
      <c r="B901" s="44">
        <f t="shared" ref="B901:B964" si="5">EOMONTH(A901,0)-EOMONTH(A901,-1)</f>
        <v>30</v>
      </c>
      <c r="C901" s="35">
        <v>194.20500000000001</v>
      </c>
      <c r="D901" s="35">
        <v>267.46600000000001</v>
      </c>
      <c r="E901" s="41">
        <v>812.32899999999995</v>
      </c>
      <c r="F901" s="35">
        <v>1274</v>
      </c>
      <c r="G901" s="35">
        <v>50</v>
      </c>
      <c r="H901" s="43">
        <v>600</v>
      </c>
      <c r="I901" s="35">
        <v>695</v>
      </c>
      <c r="J901" s="35">
        <v>0</v>
      </c>
      <c r="K901" s="36"/>
      <c r="L901" s="36"/>
      <c r="M901" s="36"/>
      <c r="N901" s="36"/>
      <c r="O901" s="36"/>
      <c r="P901" s="36"/>
      <c r="Q901" s="36"/>
      <c r="R901" s="36"/>
      <c r="S901" s="36"/>
      <c r="T901" s="36"/>
    </row>
    <row r="902" spans="1:20" ht="15.75">
      <c r="A902" s="13">
        <v>68972</v>
      </c>
      <c r="B902" s="44">
        <f t="shared" si="5"/>
        <v>31</v>
      </c>
      <c r="C902" s="35">
        <v>131.881</v>
      </c>
      <c r="D902" s="35">
        <v>277.16699999999997</v>
      </c>
      <c r="E902" s="41">
        <v>829.952</v>
      </c>
      <c r="F902" s="35">
        <v>1239</v>
      </c>
      <c r="G902" s="35">
        <v>75</v>
      </c>
      <c r="H902" s="43">
        <v>600</v>
      </c>
      <c r="I902" s="35">
        <v>695</v>
      </c>
      <c r="J902" s="35">
        <v>0</v>
      </c>
      <c r="K902" s="36"/>
      <c r="L902" s="36"/>
      <c r="M902" s="36"/>
      <c r="N902" s="36"/>
      <c r="O902" s="36"/>
      <c r="P902" s="36"/>
      <c r="Q902" s="36"/>
      <c r="R902" s="36"/>
      <c r="S902" s="36"/>
      <c r="T902" s="36"/>
    </row>
    <row r="903" spans="1:20" ht="15.75">
      <c r="A903" s="13">
        <v>69002</v>
      </c>
      <c r="B903" s="44">
        <f t="shared" si="5"/>
        <v>30</v>
      </c>
      <c r="C903" s="35">
        <v>122.58</v>
      </c>
      <c r="D903" s="35">
        <v>297.94099999999997</v>
      </c>
      <c r="E903" s="41">
        <v>729.47900000000004</v>
      </c>
      <c r="F903" s="35">
        <v>1150</v>
      </c>
      <c r="G903" s="35">
        <v>100</v>
      </c>
      <c r="H903" s="43">
        <v>600</v>
      </c>
      <c r="I903" s="35">
        <v>695</v>
      </c>
      <c r="J903" s="35">
        <v>50</v>
      </c>
      <c r="K903" s="36"/>
      <c r="L903" s="36"/>
      <c r="M903" s="36"/>
      <c r="N903" s="36"/>
      <c r="O903" s="36"/>
      <c r="P903" s="36"/>
      <c r="Q903" s="36"/>
      <c r="R903" s="36"/>
      <c r="S903" s="36"/>
      <c r="T903" s="36"/>
    </row>
    <row r="904" spans="1:20" ht="15.75">
      <c r="A904" s="13">
        <v>69033</v>
      </c>
      <c r="B904" s="44">
        <f t="shared" si="5"/>
        <v>31</v>
      </c>
      <c r="C904" s="35">
        <v>122.58</v>
      </c>
      <c r="D904" s="35">
        <v>297.94099999999997</v>
      </c>
      <c r="E904" s="41">
        <v>729.47900000000004</v>
      </c>
      <c r="F904" s="35">
        <v>1150</v>
      </c>
      <c r="G904" s="35">
        <v>100</v>
      </c>
      <c r="H904" s="43">
        <v>600</v>
      </c>
      <c r="I904" s="35">
        <v>695</v>
      </c>
      <c r="J904" s="35">
        <v>50</v>
      </c>
      <c r="K904" s="36"/>
      <c r="L904" s="36"/>
      <c r="M904" s="36"/>
      <c r="N904" s="36"/>
      <c r="O904" s="36"/>
      <c r="P904" s="36"/>
      <c r="Q904" s="36"/>
      <c r="R904" s="36"/>
      <c r="S904" s="36"/>
      <c r="T904" s="36"/>
    </row>
    <row r="905" spans="1:20" ht="15.75">
      <c r="A905" s="13">
        <v>69064</v>
      </c>
      <c r="B905" s="44">
        <f t="shared" si="5"/>
        <v>31</v>
      </c>
      <c r="C905" s="35">
        <v>122.58</v>
      </c>
      <c r="D905" s="35">
        <v>297.94099999999997</v>
      </c>
      <c r="E905" s="41">
        <v>729.47900000000004</v>
      </c>
      <c r="F905" s="35">
        <v>1150</v>
      </c>
      <c r="G905" s="35">
        <v>100</v>
      </c>
      <c r="H905" s="43">
        <v>600</v>
      </c>
      <c r="I905" s="35">
        <v>695</v>
      </c>
      <c r="J905" s="35">
        <v>50</v>
      </c>
      <c r="K905" s="36"/>
      <c r="L905" s="36"/>
      <c r="M905" s="36"/>
      <c r="N905" s="36"/>
      <c r="O905" s="36"/>
      <c r="P905" s="36"/>
      <c r="Q905" s="36"/>
      <c r="R905" s="36"/>
      <c r="S905" s="36"/>
      <c r="T905" s="36"/>
    </row>
    <row r="906" spans="1:20" ht="15.75">
      <c r="A906" s="13">
        <v>69092</v>
      </c>
      <c r="B906" s="44">
        <f t="shared" si="5"/>
        <v>28</v>
      </c>
      <c r="C906" s="35">
        <v>122.58</v>
      </c>
      <c r="D906" s="35">
        <v>297.94099999999997</v>
      </c>
      <c r="E906" s="41">
        <v>729.47900000000004</v>
      </c>
      <c r="F906" s="35">
        <v>1150</v>
      </c>
      <c r="G906" s="35">
        <v>100</v>
      </c>
      <c r="H906" s="43">
        <v>600</v>
      </c>
      <c r="I906" s="35">
        <v>695</v>
      </c>
      <c r="J906" s="35">
        <v>50</v>
      </c>
      <c r="K906" s="36"/>
      <c r="L906" s="36"/>
      <c r="M906" s="36"/>
      <c r="N906" s="36"/>
      <c r="O906" s="36"/>
      <c r="P906" s="36"/>
      <c r="Q906" s="36"/>
      <c r="R906" s="36"/>
      <c r="S906" s="36"/>
      <c r="T906" s="36"/>
    </row>
    <row r="907" spans="1:20" ht="15.75">
      <c r="A907" s="13">
        <v>69123</v>
      </c>
      <c r="B907" s="44">
        <f t="shared" si="5"/>
        <v>31</v>
      </c>
      <c r="C907" s="35">
        <v>122.58</v>
      </c>
      <c r="D907" s="35">
        <v>297.94099999999997</v>
      </c>
      <c r="E907" s="41">
        <v>729.47900000000004</v>
      </c>
      <c r="F907" s="35">
        <v>1150</v>
      </c>
      <c r="G907" s="35">
        <v>100</v>
      </c>
      <c r="H907" s="43">
        <v>600</v>
      </c>
      <c r="I907" s="35">
        <v>695</v>
      </c>
      <c r="J907" s="35">
        <v>50</v>
      </c>
      <c r="K907" s="36"/>
      <c r="L907" s="36"/>
      <c r="M907" s="36"/>
      <c r="N907" s="36"/>
      <c r="O907" s="36"/>
      <c r="P907" s="36"/>
      <c r="Q907" s="36"/>
      <c r="R907" s="36"/>
      <c r="S907" s="36"/>
      <c r="T907" s="36"/>
    </row>
    <row r="908" spans="1:20" ht="15.75">
      <c r="A908" s="13">
        <v>69153</v>
      </c>
      <c r="B908" s="44">
        <f t="shared" si="5"/>
        <v>30</v>
      </c>
      <c r="C908" s="35">
        <v>141.29300000000001</v>
      </c>
      <c r="D908" s="35">
        <v>267.99299999999999</v>
      </c>
      <c r="E908" s="41">
        <v>829.71400000000006</v>
      </c>
      <c r="F908" s="35">
        <v>1239</v>
      </c>
      <c r="G908" s="35">
        <v>100</v>
      </c>
      <c r="H908" s="43">
        <v>600</v>
      </c>
      <c r="I908" s="35">
        <v>695</v>
      </c>
      <c r="J908" s="35">
        <v>50</v>
      </c>
      <c r="K908" s="36"/>
      <c r="L908" s="36"/>
      <c r="M908" s="36"/>
      <c r="N908" s="36"/>
      <c r="O908" s="36"/>
      <c r="P908" s="36"/>
      <c r="Q908" s="36"/>
      <c r="R908" s="36"/>
      <c r="S908" s="36"/>
      <c r="T908" s="36"/>
    </row>
    <row r="909" spans="1:20" ht="15.75">
      <c r="A909" s="13">
        <v>69184</v>
      </c>
      <c r="B909" s="44">
        <f t="shared" si="5"/>
        <v>31</v>
      </c>
      <c r="C909" s="35">
        <v>194.20500000000001</v>
      </c>
      <c r="D909" s="35">
        <v>267.46600000000001</v>
      </c>
      <c r="E909" s="41">
        <v>812.32899999999995</v>
      </c>
      <c r="F909" s="35">
        <v>1274</v>
      </c>
      <c r="G909" s="35">
        <v>75</v>
      </c>
      <c r="H909" s="43">
        <v>600</v>
      </c>
      <c r="I909" s="35">
        <v>695</v>
      </c>
      <c r="J909" s="35">
        <v>50</v>
      </c>
      <c r="K909" s="36"/>
      <c r="L909" s="36"/>
      <c r="M909" s="36"/>
      <c r="N909" s="36"/>
      <c r="O909" s="36"/>
      <c r="P909" s="36"/>
      <c r="Q909" s="36"/>
      <c r="R909" s="36"/>
      <c r="S909" s="36"/>
      <c r="T909" s="36"/>
    </row>
    <row r="910" spans="1:20" ht="15.75">
      <c r="A910" s="13">
        <v>69214</v>
      </c>
      <c r="B910" s="44">
        <f t="shared" si="5"/>
        <v>30</v>
      </c>
      <c r="C910" s="35">
        <v>194.20500000000001</v>
      </c>
      <c r="D910" s="35">
        <v>267.46600000000001</v>
      </c>
      <c r="E910" s="41">
        <v>812.32899999999995</v>
      </c>
      <c r="F910" s="35">
        <v>1274</v>
      </c>
      <c r="G910" s="35">
        <v>50</v>
      </c>
      <c r="H910" s="43">
        <v>600</v>
      </c>
      <c r="I910" s="35">
        <v>695</v>
      </c>
      <c r="J910" s="35">
        <v>50</v>
      </c>
      <c r="K910" s="36"/>
      <c r="L910" s="36"/>
      <c r="M910" s="36"/>
      <c r="N910" s="36"/>
      <c r="O910" s="36"/>
      <c r="P910" s="36"/>
      <c r="Q910" s="36"/>
      <c r="R910" s="36"/>
      <c r="S910" s="36"/>
      <c r="T910" s="36"/>
    </row>
    <row r="911" spans="1:20" ht="15.75">
      <c r="A911" s="13">
        <v>69245</v>
      </c>
      <c r="B911" s="44">
        <f t="shared" si="5"/>
        <v>31</v>
      </c>
      <c r="C911" s="35">
        <v>194.20500000000001</v>
      </c>
      <c r="D911" s="35">
        <v>267.46600000000001</v>
      </c>
      <c r="E911" s="41">
        <v>812.32899999999995</v>
      </c>
      <c r="F911" s="35">
        <v>1274</v>
      </c>
      <c r="G911" s="35">
        <v>50</v>
      </c>
      <c r="H911" s="43">
        <v>600</v>
      </c>
      <c r="I911" s="35">
        <v>695</v>
      </c>
      <c r="J911" s="35">
        <v>0</v>
      </c>
      <c r="K911" s="36"/>
      <c r="L911" s="36"/>
      <c r="M911" s="36"/>
      <c r="N911" s="36"/>
      <c r="O911" s="36"/>
      <c r="P911" s="36"/>
      <c r="Q911" s="36"/>
      <c r="R911" s="36"/>
      <c r="S911" s="36"/>
      <c r="T911" s="36"/>
    </row>
    <row r="912" spans="1:20" ht="15.75">
      <c r="A912" s="13">
        <v>69276</v>
      </c>
      <c r="B912" s="44">
        <f t="shared" si="5"/>
        <v>31</v>
      </c>
      <c r="C912" s="35">
        <v>194.20500000000001</v>
      </c>
      <c r="D912" s="35">
        <v>267.46600000000001</v>
      </c>
      <c r="E912" s="41">
        <v>812.32899999999995</v>
      </c>
      <c r="F912" s="35">
        <v>1274</v>
      </c>
      <c r="G912" s="35">
        <v>50</v>
      </c>
      <c r="H912" s="43">
        <v>600</v>
      </c>
      <c r="I912" s="35">
        <v>695</v>
      </c>
      <c r="J912" s="35">
        <v>0</v>
      </c>
      <c r="K912" s="36"/>
      <c r="L912" s="36"/>
      <c r="M912" s="36"/>
      <c r="N912" s="36"/>
      <c r="O912" s="36"/>
      <c r="P912" s="36"/>
      <c r="Q912" s="36"/>
      <c r="R912" s="36"/>
      <c r="S912" s="36"/>
      <c r="T912" s="36"/>
    </row>
    <row r="913" spans="1:20" ht="15.75">
      <c r="A913" s="13">
        <v>69306</v>
      </c>
      <c r="B913" s="44">
        <f t="shared" si="5"/>
        <v>30</v>
      </c>
      <c r="C913" s="35">
        <v>194.20500000000001</v>
      </c>
      <c r="D913" s="35">
        <v>267.46600000000001</v>
      </c>
      <c r="E913" s="41">
        <v>812.32899999999995</v>
      </c>
      <c r="F913" s="35">
        <v>1274</v>
      </c>
      <c r="G913" s="35">
        <v>50</v>
      </c>
      <c r="H913" s="43">
        <v>600</v>
      </c>
      <c r="I913" s="35">
        <v>695</v>
      </c>
      <c r="J913" s="35">
        <v>0</v>
      </c>
      <c r="K913" s="36"/>
      <c r="L913" s="36"/>
      <c r="M913" s="36"/>
      <c r="N913" s="36"/>
      <c r="O913" s="36"/>
      <c r="P913" s="36"/>
      <c r="Q913" s="36"/>
      <c r="R913" s="36"/>
      <c r="S913" s="36"/>
      <c r="T913" s="36"/>
    </row>
    <row r="914" spans="1:20" ht="15.75">
      <c r="A914" s="13">
        <v>69337</v>
      </c>
      <c r="B914" s="44">
        <f t="shared" si="5"/>
        <v>31</v>
      </c>
      <c r="C914" s="35">
        <v>131.881</v>
      </c>
      <c r="D914" s="35">
        <v>277.16699999999997</v>
      </c>
      <c r="E914" s="41">
        <v>829.952</v>
      </c>
      <c r="F914" s="35">
        <v>1239</v>
      </c>
      <c r="G914" s="35">
        <v>75</v>
      </c>
      <c r="H914" s="43">
        <v>600</v>
      </c>
      <c r="I914" s="35">
        <v>695</v>
      </c>
      <c r="J914" s="35">
        <v>0</v>
      </c>
      <c r="K914" s="36"/>
      <c r="L914" s="36"/>
      <c r="M914" s="36"/>
      <c r="N914" s="36"/>
      <c r="O914" s="36"/>
      <c r="P914" s="36"/>
      <c r="Q914" s="36"/>
      <c r="R914" s="36"/>
      <c r="S914" s="36"/>
      <c r="T914" s="36"/>
    </row>
    <row r="915" spans="1:20" ht="15.75">
      <c r="A915" s="13">
        <v>69367</v>
      </c>
      <c r="B915" s="44">
        <f t="shared" si="5"/>
        <v>30</v>
      </c>
      <c r="C915" s="35">
        <v>122.58</v>
      </c>
      <c r="D915" s="35">
        <v>297.94099999999997</v>
      </c>
      <c r="E915" s="41">
        <v>729.47900000000004</v>
      </c>
      <c r="F915" s="35">
        <v>1150</v>
      </c>
      <c r="G915" s="35">
        <v>100</v>
      </c>
      <c r="H915" s="43">
        <v>600</v>
      </c>
      <c r="I915" s="35">
        <v>695</v>
      </c>
      <c r="J915" s="35">
        <v>50</v>
      </c>
      <c r="K915" s="36"/>
      <c r="L915" s="36"/>
      <c r="M915" s="36"/>
      <c r="N915" s="36"/>
      <c r="O915" s="36"/>
      <c r="P915" s="36"/>
      <c r="Q915" s="36"/>
      <c r="R915" s="36"/>
      <c r="S915" s="36"/>
      <c r="T915" s="36"/>
    </row>
    <row r="916" spans="1:20" ht="15.75">
      <c r="A916" s="13">
        <v>69398</v>
      </c>
      <c r="B916" s="44">
        <f t="shared" si="5"/>
        <v>31</v>
      </c>
      <c r="C916" s="35">
        <v>122.58</v>
      </c>
      <c r="D916" s="35">
        <v>297.94099999999997</v>
      </c>
      <c r="E916" s="41">
        <v>729.47900000000004</v>
      </c>
      <c r="F916" s="35">
        <v>1150</v>
      </c>
      <c r="G916" s="35">
        <v>100</v>
      </c>
      <c r="H916" s="43">
        <v>600</v>
      </c>
      <c r="I916" s="35">
        <v>695</v>
      </c>
      <c r="J916" s="35">
        <v>50</v>
      </c>
      <c r="K916" s="36"/>
      <c r="L916" s="36"/>
      <c r="M916" s="36"/>
      <c r="N916" s="36"/>
      <c r="O916" s="36"/>
      <c r="P916" s="36"/>
      <c r="Q916" s="36"/>
      <c r="R916" s="36"/>
      <c r="S916" s="36"/>
      <c r="T916" s="36"/>
    </row>
    <row r="917" spans="1:20" ht="15.75">
      <c r="A917" s="13">
        <v>69429</v>
      </c>
      <c r="B917" s="44">
        <f t="shared" si="5"/>
        <v>31</v>
      </c>
      <c r="C917" s="35">
        <v>122.58</v>
      </c>
      <c r="D917" s="35">
        <v>297.94099999999997</v>
      </c>
      <c r="E917" s="41">
        <v>729.47900000000004</v>
      </c>
      <c r="F917" s="35">
        <v>1150</v>
      </c>
      <c r="G917" s="35">
        <v>100</v>
      </c>
      <c r="H917" s="43">
        <v>600</v>
      </c>
      <c r="I917" s="35">
        <v>695</v>
      </c>
      <c r="J917" s="35">
        <v>50</v>
      </c>
      <c r="K917" s="36"/>
      <c r="L917" s="36"/>
      <c r="M917" s="36"/>
      <c r="N917" s="36"/>
      <c r="O917" s="36"/>
      <c r="P917" s="36"/>
      <c r="Q917" s="36"/>
      <c r="R917" s="36"/>
      <c r="S917" s="36"/>
      <c r="T917" s="36"/>
    </row>
    <row r="918" spans="1:20" ht="15.75">
      <c r="A918" s="13">
        <v>69457</v>
      </c>
      <c r="B918" s="44">
        <f t="shared" si="5"/>
        <v>28</v>
      </c>
      <c r="C918" s="35">
        <v>122.58</v>
      </c>
      <c r="D918" s="35">
        <v>297.94099999999997</v>
      </c>
      <c r="E918" s="41">
        <v>729.47900000000004</v>
      </c>
      <c r="F918" s="35">
        <v>1150</v>
      </c>
      <c r="G918" s="35">
        <v>100</v>
      </c>
      <c r="H918" s="43">
        <v>600</v>
      </c>
      <c r="I918" s="35">
        <v>695</v>
      </c>
      <c r="J918" s="35">
        <v>50</v>
      </c>
      <c r="K918" s="36"/>
      <c r="L918" s="36"/>
      <c r="M918" s="36"/>
      <c r="N918" s="36"/>
      <c r="O918" s="36"/>
      <c r="P918" s="36"/>
      <c r="Q918" s="36"/>
      <c r="R918" s="36"/>
      <c r="S918" s="36"/>
      <c r="T918" s="36"/>
    </row>
    <row r="919" spans="1:20" ht="15.75">
      <c r="A919" s="13">
        <v>69488</v>
      </c>
      <c r="B919" s="44">
        <f t="shared" si="5"/>
        <v>31</v>
      </c>
      <c r="C919" s="35">
        <v>122.58</v>
      </c>
      <c r="D919" s="35">
        <v>297.94099999999997</v>
      </c>
      <c r="E919" s="41">
        <v>729.47900000000004</v>
      </c>
      <c r="F919" s="35">
        <v>1150</v>
      </c>
      <c r="G919" s="35">
        <v>100</v>
      </c>
      <c r="H919" s="43">
        <v>600</v>
      </c>
      <c r="I919" s="35">
        <v>695</v>
      </c>
      <c r="J919" s="35">
        <v>50</v>
      </c>
      <c r="K919" s="36"/>
      <c r="L919" s="36"/>
      <c r="M919" s="36"/>
      <c r="N919" s="36"/>
      <c r="O919" s="36"/>
      <c r="P919" s="36"/>
      <c r="Q919" s="36"/>
      <c r="R919" s="36"/>
      <c r="S919" s="36"/>
      <c r="T919" s="36"/>
    </row>
    <row r="920" spans="1:20" ht="15.75">
      <c r="A920" s="13">
        <v>69518</v>
      </c>
      <c r="B920" s="44">
        <f t="shared" si="5"/>
        <v>30</v>
      </c>
      <c r="C920" s="35">
        <v>141.29300000000001</v>
      </c>
      <c r="D920" s="35">
        <v>267.99299999999999</v>
      </c>
      <c r="E920" s="41">
        <v>829.71400000000006</v>
      </c>
      <c r="F920" s="35">
        <v>1239</v>
      </c>
      <c r="G920" s="35">
        <v>100</v>
      </c>
      <c r="H920" s="43">
        <v>600</v>
      </c>
      <c r="I920" s="35">
        <v>695</v>
      </c>
      <c r="J920" s="35">
        <v>50</v>
      </c>
      <c r="K920" s="36"/>
      <c r="L920" s="36"/>
      <c r="M920" s="36"/>
      <c r="N920" s="36"/>
      <c r="O920" s="36"/>
      <c r="P920" s="36"/>
      <c r="Q920" s="36"/>
      <c r="R920" s="36"/>
      <c r="S920" s="36"/>
      <c r="T920" s="36"/>
    </row>
    <row r="921" spans="1:20" ht="15.75">
      <c r="A921" s="13">
        <v>69549</v>
      </c>
      <c r="B921" s="44">
        <f t="shared" si="5"/>
        <v>31</v>
      </c>
      <c r="C921" s="35">
        <v>194.20500000000001</v>
      </c>
      <c r="D921" s="35">
        <v>267.46600000000001</v>
      </c>
      <c r="E921" s="41">
        <v>812.32899999999995</v>
      </c>
      <c r="F921" s="35">
        <v>1274</v>
      </c>
      <c r="G921" s="35">
        <v>75</v>
      </c>
      <c r="H921" s="43">
        <v>600</v>
      </c>
      <c r="I921" s="35">
        <v>695</v>
      </c>
      <c r="J921" s="35">
        <v>50</v>
      </c>
      <c r="K921" s="36"/>
      <c r="L921" s="36"/>
      <c r="M921" s="36"/>
      <c r="N921" s="36"/>
      <c r="O921" s="36"/>
      <c r="P921" s="36"/>
      <c r="Q921" s="36"/>
      <c r="R921" s="36"/>
      <c r="S921" s="36"/>
      <c r="T921" s="36"/>
    </row>
    <row r="922" spans="1:20" ht="15.75">
      <c r="A922" s="13">
        <v>69579</v>
      </c>
      <c r="B922" s="44">
        <f t="shared" si="5"/>
        <v>30</v>
      </c>
      <c r="C922" s="35">
        <v>194.20500000000001</v>
      </c>
      <c r="D922" s="35">
        <v>267.46600000000001</v>
      </c>
      <c r="E922" s="41">
        <v>812.32899999999995</v>
      </c>
      <c r="F922" s="35">
        <v>1274</v>
      </c>
      <c r="G922" s="35">
        <v>50</v>
      </c>
      <c r="H922" s="43">
        <v>600</v>
      </c>
      <c r="I922" s="35">
        <v>695</v>
      </c>
      <c r="J922" s="35">
        <v>50</v>
      </c>
      <c r="K922" s="36"/>
      <c r="L922" s="36"/>
      <c r="M922" s="36"/>
      <c r="N922" s="36"/>
      <c r="O922" s="36"/>
      <c r="P922" s="36"/>
      <c r="Q922" s="36"/>
      <c r="R922" s="36"/>
      <c r="S922" s="36"/>
      <c r="T922" s="36"/>
    </row>
    <row r="923" spans="1:20" ht="15.75">
      <c r="A923" s="13">
        <v>69610</v>
      </c>
      <c r="B923" s="44">
        <f t="shared" si="5"/>
        <v>31</v>
      </c>
      <c r="C923" s="35">
        <v>194.20500000000001</v>
      </c>
      <c r="D923" s="35">
        <v>267.46600000000001</v>
      </c>
      <c r="E923" s="41">
        <v>812.32899999999995</v>
      </c>
      <c r="F923" s="35">
        <v>1274</v>
      </c>
      <c r="G923" s="35">
        <v>50</v>
      </c>
      <c r="H923" s="43">
        <v>600</v>
      </c>
      <c r="I923" s="35">
        <v>695</v>
      </c>
      <c r="J923" s="35">
        <v>0</v>
      </c>
      <c r="K923" s="36"/>
      <c r="L923" s="36"/>
      <c r="M923" s="36"/>
      <c r="N923" s="36"/>
      <c r="O923" s="36"/>
      <c r="P923" s="36"/>
      <c r="Q923" s="36"/>
      <c r="R923" s="36"/>
      <c r="S923" s="36"/>
      <c r="T923" s="36"/>
    </row>
    <row r="924" spans="1:20" ht="15.75">
      <c r="A924" s="13">
        <v>69641</v>
      </c>
      <c r="B924" s="44">
        <f t="shared" si="5"/>
        <v>31</v>
      </c>
      <c r="C924" s="35">
        <v>194.20500000000001</v>
      </c>
      <c r="D924" s="35">
        <v>267.46600000000001</v>
      </c>
      <c r="E924" s="41">
        <v>812.32899999999995</v>
      </c>
      <c r="F924" s="35">
        <v>1274</v>
      </c>
      <c r="G924" s="35">
        <v>50</v>
      </c>
      <c r="H924" s="43">
        <v>600</v>
      </c>
      <c r="I924" s="35">
        <v>695</v>
      </c>
      <c r="J924" s="35">
        <v>0</v>
      </c>
      <c r="K924" s="36"/>
      <c r="L924" s="36"/>
      <c r="M924" s="36"/>
      <c r="N924" s="36"/>
      <c r="O924" s="36"/>
      <c r="P924" s="36"/>
      <c r="Q924" s="36"/>
      <c r="R924" s="36"/>
      <c r="S924" s="36"/>
      <c r="T924" s="36"/>
    </row>
    <row r="925" spans="1:20" ht="15.75">
      <c r="A925" s="13">
        <v>69671</v>
      </c>
      <c r="B925" s="44">
        <f t="shared" si="5"/>
        <v>30</v>
      </c>
      <c r="C925" s="35">
        <v>194.20500000000001</v>
      </c>
      <c r="D925" s="35">
        <v>267.46600000000001</v>
      </c>
      <c r="E925" s="41">
        <v>812.32899999999995</v>
      </c>
      <c r="F925" s="35">
        <v>1274</v>
      </c>
      <c r="G925" s="35">
        <v>50</v>
      </c>
      <c r="H925" s="43">
        <v>600</v>
      </c>
      <c r="I925" s="35">
        <v>695</v>
      </c>
      <c r="J925" s="35">
        <v>0</v>
      </c>
      <c r="K925" s="36"/>
      <c r="L925" s="36"/>
      <c r="M925" s="36"/>
      <c r="N925" s="36"/>
      <c r="O925" s="36"/>
      <c r="P925" s="36"/>
      <c r="Q925" s="36"/>
      <c r="R925" s="36"/>
      <c r="S925" s="36"/>
      <c r="T925" s="36"/>
    </row>
    <row r="926" spans="1:20" ht="15.75">
      <c r="A926" s="13">
        <v>69702</v>
      </c>
      <c r="B926" s="44">
        <f t="shared" si="5"/>
        <v>31</v>
      </c>
      <c r="C926" s="35">
        <v>131.881</v>
      </c>
      <c r="D926" s="35">
        <v>277.16699999999997</v>
      </c>
      <c r="E926" s="41">
        <v>829.952</v>
      </c>
      <c r="F926" s="35">
        <v>1239</v>
      </c>
      <c r="G926" s="35">
        <v>75</v>
      </c>
      <c r="H926" s="43">
        <v>600</v>
      </c>
      <c r="I926" s="35">
        <v>695</v>
      </c>
      <c r="J926" s="35">
        <v>0</v>
      </c>
      <c r="K926" s="36"/>
      <c r="L926" s="36"/>
      <c r="M926" s="36"/>
      <c r="N926" s="36"/>
      <c r="O926" s="36"/>
      <c r="P926" s="36"/>
      <c r="Q926" s="36"/>
      <c r="R926" s="36"/>
      <c r="S926" s="36"/>
      <c r="T926" s="36"/>
    </row>
    <row r="927" spans="1:20" ht="15.75">
      <c r="A927" s="13">
        <v>69732</v>
      </c>
      <c r="B927" s="44">
        <f t="shared" si="5"/>
        <v>30</v>
      </c>
      <c r="C927" s="35">
        <v>122.58</v>
      </c>
      <c r="D927" s="35">
        <v>297.94099999999997</v>
      </c>
      <c r="E927" s="41">
        <v>729.47900000000004</v>
      </c>
      <c r="F927" s="35">
        <v>1150</v>
      </c>
      <c r="G927" s="35">
        <v>100</v>
      </c>
      <c r="H927" s="43">
        <v>600</v>
      </c>
      <c r="I927" s="35">
        <v>695</v>
      </c>
      <c r="J927" s="35">
        <v>50</v>
      </c>
      <c r="K927" s="36"/>
      <c r="L927" s="36"/>
      <c r="M927" s="36"/>
      <c r="N927" s="36"/>
      <c r="O927" s="36"/>
      <c r="P927" s="36"/>
      <c r="Q927" s="36"/>
      <c r="R927" s="36"/>
      <c r="S927" s="36"/>
      <c r="T927" s="36"/>
    </row>
    <row r="928" spans="1:20" ht="15.75">
      <c r="A928" s="13">
        <v>69763</v>
      </c>
      <c r="B928" s="44">
        <f t="shared" si="5"/>
        <v>31</v>
      </c>
      <c r="C928" s="35">
        <v>122.58</v>
      </c>
      <c r="D928" s="35">
        <v>297.94099999999997</v>
      </c>
      <c r="E928" s="41">
        <v>729.47900000000004</v>
      </c>
      <c r="F928" s="35">
        <v>1150</v>
      </c>
      <c r="G928" s="35">
        <v>100</v>
      </c>
      <c r="H928" s="43">
        <v>600</v>
      </c>
      <c r="I928" s="35">
        <v>695</v>
      </c>
      <c r="J928" s="35">
        <v>50</v>
      </c>
      <c r="K928" s="36"/>
      <c r="L928" s="36"/>
      <c r="M928" s="36"/>
      <c r="N928" s="36"/>
      <c r="O928" s="36"/>
      <c r="P928" s="36"/>
      <c r="Q928" s="36"/>
      <c r="R928" s="36"/>
      <c r="S928" s="36"/>
      <c r="T928" s="36"/>
    </row>
    <row r="929" spans="1:20" ht="15.75">
      <c r="A929" s="13">
        <v>69794</v>
      </c>
      <c r="B929" s="44">
        <f t="shared" si="5"/>
        <v>31</v>
      </c>
      <c r="C929" s="35">
        <v>122.58</v>
      </c>
      <c r="D929" s="35">
        <v>297.94099999999997</v>
      </c>
      <c r="E929" s="41">
        <v>729.47900000000004</v>
      </c>
      <c r="F929" s="35">
        <v>1150</v>
      </c>
      <c r="G929" s="35">
        <v>100</v>
      </c>
      <c r="H929" s="43">
        <v>600</v>
      </c>
      <c r="I929" s="35">
        <v>695</v>
      </c>
      <c r="J929" s="35">
        <v>50</v>
      </c>
      <c r="K929" s="36"/>
      <c r="L929" s="36"/>
      <c r="M929" s="36"/>
      <c r="N929" s="36"/>
      <c r="O929" s="36"/>
      <c r="P929" s="36"/>
      <c r="Q929" s="36"/>
      <c r="R929" s="36"/>
      <c r="S929" s="36"/>
      <c r="T929" s="36"/>
    </row>
    <row r="930" spans="1:20" ht="15.75">
      <c r="A930" s="13">
        <v>69822</v>
      </c>
      <c r="B930" s="44">
        <f t="shared" si="5"/>
        <v>28</v>
      </c>
      <c r="C930" s="35">
        <v>122.58</v>
      </c>
      <c r="D930" s="35">
        <v>297.94099999999997</v>
      </c>
      <c r="E930" s="41">
        <v>729.47900000000004</v>
      </c>
      <c r="F930" s="35">
        <v>1150</v>
      </c>
      <c r="G930" s="35">
        <v>100</v>
      </c>
      <c r="H930" s="43">
        <v>600</v>
      </c>
      <c r="I930" s="35">
        <v>695</v>
      </c>
      <c r="J930" s="35">
        <v>50</v>
      </c>
      <c r="K930" s="36"/>
      <c r="L930" s="36"/>
      <c r="M930" s="36"/>
      <c r="N930" s="36"/>
      <c r="O930" s="36"/>
      <c r="P930" s="36"/>
      <c r="Q930" s="36"/>
      <c r="R930" s="36"/>
      <c r="S930" s="36"/>
      <c r="T930" s="36"/>
    </row>
    <row r="931" spans="1:20" ht="15.75">
      <c r="A931" s="13">
        <v>69853</v>
      </c>
      <c r="B931" s="44">
        <f t="shared" si="5"/>
        <v>31</v>
      </c>
      <c r="C931" s="35">
        <v>122.58</v>
      </c>
      <c r="D931" s="35">
        <v>297.94099999999997</v>
      </c>
      <c r="E931" s="41">
        <v>729.47900000000004</v>
      </c>
      <c r="F931" s="35">
        <v>1150</v>
      </c>
      <c r="G931" s="35">
        <v>100</v>
      </c>
      <c r="H931" s="43">
        <v>600</v>
      </c>
      <c r="I931" s="35">
        <v>695</v>
      </c>
      <c r="J931" s="35">
        <v>50</v>
      </c>
      <c r="K931" s="36"/>
      <c r="L931" s="36"/>
      <c r="M931" s="36"/>
      <c r="N931" s="36"/>
      <c r="O931" s="36"/>
      <c r="P931" s="36"/>
      <c r="Q931" s="36"/>
      <c r="R931" s="36"/>
      <c r="S931" s="36"/>
      <c r="T931" s="36"/>
    </row>
    <row r="932" spans="1:20" ht="15.75">
      <c r="A932" s="13">
        <v>69883</v>
      </c>
      <c r="B932" s="44">
        <f t="shared" si="5"/>
        <v>30</v>
      </c>
      <c r="C932" s="35">
        <v>141.29300000000001</v>
      </c>
      <c r="D932" s="35">
        <v>267.99299999999999</v>
      </c>
      <c r="E932" s="41">
        <v>829.71400000000006</v>
      </c>
      <c r="F932" s="35">
        <v>1239</v>
      </c>
      <c r="G932" s="35">
        <v>100</v>
      </c>
      <c r="H932" s="43">
        <v>600</v>
      </c>
      <c r="I932" s="35">
        <v>695</v>
      </c>
      <c r="J932" s="35">
        <v>50</v>
      </c>
      <c r="K932" s="36"/>
      <c r="L932" s="36"/>
      <c r="M932" s="36"/>
      <c r="N932" s="36"/>
      <c r="O932" s="36"/>
      <c r="P932" s="36"/>
      <c r="Q932" s="36"/>
      <c r="R932" s="36"/>
      <c r="S932" s="36"/>
      <c r="T932" s="36"/>
    </row>
    <row r="933" spans="1:20" ht="15.75">
      <c r="A933" s="13">
        <v>69914</v>
      </c>
      <c r="B933" s="44">
        <f t="shared" si="5"/>
        <v>31</v>
      </c>
      <c r="C933" s="35">
        <v>194.20500000000001</v>
      </c>
      <c r="D933" s="35">
        <v>267.46600000000001</v>
      </c>
      <c r="E933" s="41">
        <v>812.32899999999995</v>
      </c>
      <c r="F933" s="35">
        <v>1274</v>
      </c>
      <c r="G933" s="35">
        <v>75</v>
      </c>
      <c r="H933" s="43">
        <v>600</v>
      </c>
      <c r="I933" s="35">
        <v>695</v>
      </c>
      <c r="J933" s="35">
        <v>50</v>
      </c>
      <c r="K933" s="36"/>
      <c r="L933" s="36"/>
      <c r="M933" s="36"/>
      <c r="N933" s="36"/>
      <c r="O933" s="36"/>
      <c r="P933" s="36"/>
      <c r="Q933" s="36"/>
      <c r="R933" s="36"/>
      <c r="S933" s="36"/>
      <c r="T933" s="36"/>
    </row>
    <row r="934" spans="1:20" ht="15.75">
      <c r="A934" s="13">
        <v>69944</v>
      </c>
      <c r="B934" s="44">
        <f t="shared" si="5"/>
        <v>30</v>
      </c>
      <c r="C934" s="35">
        <v>194.20500000000001</v>
      </c>
      <c r="D934" s="35">
        <v>267.46600000000001</v>
      </c>
      <c r="E934" s="41">
        <v>812.32899999999995</v>
      </c>
      <c r="F934" s="35">
        <v>1274</v>
      </c>
      <c r="G934" s="35">
        <v>50</v>
      </c>
      <c r="H934" s="43">
        <v>600</v>
      </c>
      <c r="I934" s="35">
        <v>695</v>
      </c>
      <c r="J934" s="35">
        <v>50</v>
      </c>
      <c r="K934" s="36"/>
      <c r="L934" s="36"/>
      <c r="M934" s="36"/>
      <c r="N934" s="36"/>
      <c r="O934" s="36"/>
      <c r="P934" s="36"/>
      <c r="Q934" s="36"/>
      <c r="R934" s="36"/>
      <c r="S934" s="36"/>
      <c r="T934" s="36"/>
    </row>
    <row r="935" spans="1:20" ht="15.75">
      <c r="A935" s="13">
        <v>69975</v>
      </c>
      <c r="B935" s="44">
        <f t="shared" si="5"/>
        <v>31</v>
      </c>
      <c r="C935" s="35">
        <v>194.20500000000001</v>
      </c>
      <c r="D935" s="35">
        <v>267.46600000000001</v>
      </c>
      <c r="E935" s="41">
        <v>812.32899999999995</v>
      </c>
      <c r="F935" s="35">
        <v>1274</v>
      </c>
      <c r="G935" s="35">
        <v>50</v>
      </c>
      <c r="H935" s="43">
        <v>600</v>
      </c>
      <c r="I935" s="35">
        <v>695</v>
      </c>
      <c r="J935" s="35">
        <v>0</v>
      </c>
      <c r="K935" s="36"/>
      <c r="L935" s="36"/>
      <c r="M935" s="36"/>
      <c r="N935" s="36"/>
      <c r="O935" s="36"/>
      <c r="P935" s="36"/>
      <c r="Q935" s="36"/>
      <c r="R935" s="36"/>
      <c r="S935" s="36"/>
      <c r="T935" s="36"/>
    </row>
    <row r="936" spans="1:20" ht="15.75">
      <c r="A936" s="13">
        <v>70006</v>
      </c>
      <c r="B936" s="44">
        <f t="shared" si="5"/>
        <v>31</v>
      </c>
      <c r="C936" s="35">
        <v>194.20500000000001</v>
      </c>
      <c r="D936" s="35">
        <v>267.46600000000001</v>
      </c>
      <c r="E936" s="41">
        <v>812.32899999999995</v>
      </c>
      <c r="F936" s="35">
        <v>1274</v>
      </c>
      <c r="G936" s="35">
        <v>50</v>
      </c>
      <c r="H936" s="43">
        <v>600</v>
      </c>
      <c r="I936" s="35">
        <v>695</v>
      </c>
      <c r="J936" s="35">
        <v>0</v>
      </c>
      <c r="K936" s="36"/>
      <c r="L936" s="36"/>
      <c r="M936" s="36"/>
      <c r="N936" s="36"/>
      <c r="O936" s="36"/>
      <c r="P936" s="36"/>
      <c r="Q936" s="36"/>
      <c r="R936" s="36"/>
      <c r="S936" s="36"/>
      <c r="T936" s="36"/>
    </row>
    <row r="937" spans="1:20" ht="15.75">
      <c r="A937" s="13">
        <v>70036</v>
      </c>
      <c r="B937" s="44">
        <f t="shared" si="5"/>
        <v>30</v>
      </c>
      <c r="C937" s="35">
        <v>194.20500000000001</v>
      </c>
      <c r="D937" s="35">
        <v>267.46600000000001</v>
      </c>
      <c r="E937" s="41">
        <v>812.32899999999995</v>
      </c>
      <c r="F937" s="35">
        <v>1274</v>
      </c>
      <c r="G937" s="35">
        <v>50</v>
      </c>
      <c r="H937" s="43">
        <v>600</v>
      </c>
      <c r="I937" s="35">
        <v>695</v>
      </c>
      <c r="J937" s="35">
        <v>0</v>
      </c>
      <c r="K937" s="36"/>
      <c r="L937" s="36"/>
      <c r="M937" s="36"/>
      <c r="N937" s="36"/>
      <c r="O937" s="36"/>
      <c r="P937" s="36"/>
      <c r="Q937" s="36"/>
      <c r="R937" s="36"/>
      <c r="S937" s="36"/>
      <c r="T937" s="36"/>
    </row>
    <row r="938" spans="1:20" ht="15.75">
      <c r="A938" s="13">
        <v>70067</v>
      </c>
      <c r="B938" s="44">
        <f t="shared" si="5"/>
        <v>31</v>
      </c>
      <c r="C938" s="35">
        <v>131.881</v>
      </c>
      <c r="D938" s="35">
        <v>277.16699999999997</v>
      </c>
      <c r="E938" s="41">
        <v>829.952</v>
      </c>
      <c r="F938" s="35">
        <v>1239</v>
      </c>
      <c r="G938" s="35">
        <v>75</v>
      </c>
      <c r="H938" s="43">
        <v>600</v>
      </c>
      <c r="I938" s="35">
        <v>695</v>
      </c>
      <c r="J938" s="35">
        <v>0</v>
      </c>
      <c r="K938" s="36"/>
      <c r="L938" s="36"/>
      <c r="M938" s="36"/>
      <c r="N938" s="36"/>
      <c r="O938" s="36"/>
      <c r="P938" s="36"/>
      <c r="Q938" s="36"/>
      <c r="R938" s="36"/>
      <c r="S938" s="36"/>
      <c r="T938" s="36"/>
    </row>
    <row r="939" spans="1:20" ht="15.75">
      <c r="A939" s="13">
        <v>70097</v>
      </c>
      <c r="B939" s="44">
        <f t="shared" si="5"/>
        <v>30</v>
      </c>
      <c r="C939" s="35">
        <v>122.58</v>
      </c>
      <c r="D939" s="35">
        <v>297.94099999999997</v>
      </c>
      <c r="E939" s="41">
        <v>729.47900000000004</v>
      </c>
      <c r="F939" s="35">
        <v>1150</v>
      </c>
      <c r="G939" s="35">
        <v>100</v>
      </c>
      <c r="H939" s="43">
        <v>600</v>
      </c>
      <c r="I939" s="35">
        <v>695</v>
      </c>
      <c r="J939" s="35">
        <v>50</v>
      </c>
      <c r="K939" s="36"/>
      <c r="L939" s="36"/>
      <c r="M939" s="36"/>
      <c r="N939" s="36"/>
      <c r="O939" s="36"/>
      <c r="P939" s="36"/>
      <c r="Q939" s="36"/>
      <c r="R939" s="36"/>
      <c r="S939" s="36"/>
      <c r="T939" s="36"/>
    </row>
    <row r="940" spans="1:20" ht="15.75">
      <c r="A940" s="13">
        <v>70128</v>
      </c>
      <c r="B940" s="44">
        <f t="shared" si="5"/>
        <v>31</v>
      </c>
      <c r="C940" s="35">
        <v>122.58</v>
      </c>
      <c r="D940" s="35">
        <v>297.94099999999997</v>
      </c>
      <c r="E940" s="41">
        <v>729.47900000000004</v>
      </c>
      <c r="F940" s="35">
        <v>1150</v>
      </c>
      <c r="G940" s="35">
        <v>100</v>
      </c>
      <c r="H940" s="43">
        <v>600</v>
      </c>
      <c r="I940" s="35">
        <v>695</v>
      </c>
      <c r="J940" s="35">
        <v>50</v>
      </c>
      <c r="K940" s="36"/>
      <c r="L940" s="36"/>
      <c r="M940" s="36"/>
      <c r="N940" s="36"/>
      <c r="O940" s="36"/>
      <c r="P940" s="36"/>
      <c r="Q940" s="36"/>
      <c r="R940" s="36"/>
      <c r="S940" s="36"/>
      <c r="T940" s="36"/>
    </row>
    <row r="941" spans="1:20" ht="15.75">
      <c r="A941" s="13">
        <v>70159</v>
      </c>
      <c r="B941" s="44">
        <f t="shared" si="5"/>
        <v>31</v>
      </c>
      <c r="C941" s="35">
        <v>122.58</v>
      </c>
      <c r="D941" s="35">
        <v>297.94099999999997</v>
      </c>
      <c r="E941" s="41">
        <v>729.47900000000004</v>
      </c>
      <c r="F941" s="35">
        <v>1150</v>
      </c>
      <c r="G941" s="35">
        <v>100</v>
      </c>
      <c r="H941" s="43">
        <v>600</v>
      </c>
      <c r="I941" s="35">
        <v>695</v>
      </c>
      <c r="J941" s="35">
        <v>50</v>
      </c>
      <c r="K941" s="36"/>
      <c r="L941" s="36"/>
      <c r="M941" s="36"/>
      <c r="N941" s="36"/>
      <c r="O941" s="36"/>
      <c r="P941" s="36"/>
      <c r="Q941" s="36"/>
      <c r="R941" s="36"/>
      <c r="S941" s="36"/>
      <c r="T941" s="36"/>
    </row>
    <row r="942" spans="1:20" ht="15.75">
      <c r="A942" s="13">
        <v>70188</v>
      </c>
      <c r="B942" s="44">
        <f t="shared" si="5"/>
        <v>29</v>
      </c>
      <c r="C942" s="35">
        <v>122.58</v>
      </c>
      <c r="D942" s="35">
        <v>297.94099999999997</v>
      </c>
      <c r="E942" s="41">
        <v>729.47900000000004</v>
      </c>
      <c r="F942" s="35">
        <v>1150</v>
      </c>
      <c r="G942" s="35">
        <v>100</v>
      </c>
      <c r="H942" s="43">
        <v>600</v>
      </c>
      <c r="I942" s="35">
        <v>695</v>
      </c>
      <c r="J942" s="35">
        <v>50</v>
      </c>
      <c r="K942" s="36"/>
      <c r="L942" s="36"/>
      <c r="M942" s="36"/>
      <c r="N942" s="36"/>
      <c r="O942" s="36"/>
      <c r="P942" s="36"/>
      <c r="Q942" s="36"/>
      <c r="R942" s="36"/>
      <c r="S942" s="36"/>
      <c r="T942" s="36"/>
    </row>
    <row r="943" spans="1:20" ht="15.75">
      <c r="A943" s="13">
        <v>70219</v>
      </c>
      <c r="B943" s="44">
        <f t="shared" si="5"/>
        <v>31</v>
      </c>
      <c r="C943" s="35">
        <v>122.58</v>
      </c>
      <c r="D943" s="35">
        <v>297.94099999999997</v>
      </c>
      <c r="E943" s="41">
        <v>729.47900000000004</v>
      </c>
      <c r="F943" s="35">
        <v>1150</v>
      </c>
      <c r="G943" s="35">
        <v>100</v>
      </c>
      <c r="H943" s="43">
        <v>600</v>
      </c>
      <c r="I943" s="35">
        <v>695</v>
      </c>
      <c r="J943" s="35">
        <v>50</v>
      </c>
      <c r="K943" s="36"/>
      <c r="L943" s="36"/>
      <c r="M943" s="36"/>
      <c r="N943" s="36"/>
      <c r="O943" s="36"/>
      <c r="P943" s="36"/>
      <c r="Q943" s="36"/>
      <c r="R943" s="36"/>
      <c r="S943" s="36"/>
      <c r="T943" s="36"/>
    </row>
    <row r="944" spans="1:20" ht="15.75">
      <c r="A944" s="13">
        <v>70249</v>
      </c>
      <c r="B944" s="44">
        <f t="shared" si="5"/>
        <v>30</v>
      </c>
      <c r="C944" s="35">
        <v>141.29300000000001</v>
      </c>
      <c r="D944" s="35">
        <v>267.99299999999999</v>
      </c>
      <c r="E944" s="41">
        <v>829.71400000000006</v>
      </c>
      <c r="F944" s="35">
        <v>1239</v>
      </c>
      <c r="G944" s="35">
        <v>100</v>
      </c>
      <c r="H944" s="43">
        <v>600</v>
      </c>
      <c r="I944" s="35">
        <v>695</v>
      </c>
      <c r="J944" s="35">
        <v>50</v>
      </c>
      <c r="K944" s="36"/>
      <c r="L944" s="36"/>
      <c r="M944" s="36"/>
      <c r="N944" s="36"/>
      <c r="O944" s="36"/>
      <c r="P944" s="36"/>
      <c r="Q944" s="36"/>
      <c r="R944" s="36"/>
      <c r="S944" s="36"/>
      <c r="T944" s="36"/>
    </row>
    <row r="945" spans="1:20" ht="15.75">
      <c r="A945" s="13">
        <v>70280</v>
      </c>
      <c r="B945" s="44">
        <f t="shared" si="5"/>
        <v>31</v>
      </c>
      <c r="C945" s="35">
        <v>194.20500000000001</v>
      </c>
      <c r="D945" s="35">
        <v>267.46600000000001</v>
      </c>
      <c r="E945" s="41">
        <v>812.32899999999995</v>
      </c>
      <c r="F945" s="35">
        <v>1274</v>
      </c>
      <c r="G945" s="35">
        <v>75</v>
      </c>
      <c r="H945" s="43">
        <v>600</v>
      </c>
      <c r="I945" s="35">
        <v>695</v>
      </c>
      <c r="J945" s="35">
        <v>50</v>
      </c>
      <c r="K945" s="36"/>
      <c r="L945" s="36"/>
      <c r="M945" s="36"/>
      <c r="N945" s="36"/>
      <c r="O945" s="36"/>
      <c r="P945" s="36"/>
      <c r="Q945" s="36"/>
      <c r="R945" s="36"/>
      <c r="S945" s="36"/>
      <c r="T945" s="36"/>
    </row>
    <row r="946" spans="1:20" ht="15.75">
      <c r="A946" s="13">
        <v>70310</v>
      </c>
      <c r="B946" s="44">
        <f t="shared" si="5"/>
        <v>30</v>
      </c>
      <c r="C946" s="35">
        <v>194.20500000000001</v>
      </c>
      <c r="D946" s="35">
        <v>267.46600000000001</v>
      </c>
      <c r="E946" s="41">
        <v>812.32899999999995</v>
      </c>
      <c r="F946" s="35">
        <v>1274</v>
      </c>
      <c r="G946" s="35">
        <v>50</v>
      </c>
      <c r="H946" s="43">
        <v>600</v>
      </c>
      <c r="I946" s="35">
        <v>695</v>
      </c>
      <c r="J946" s="35">
        <v>50</v>
      </c>
      <c r="K946" s="36"/>
      <c r="L946" s="36"/>
      <c r="M946" s="36"/>
      <c r="N946" s="36"/>
      <c r="O946" s="36"/>
      <c r="P946" s="36"/>
      <c r="Q946" s="36"/>
      <c r="R946" s="36"/>
      <c r="S946" s="36"/>
      <c r="T946" s="36"/>
    </row>
    <row r="947" spans="1:20" ht="15.75">
      <c r="A947" s="13">
        <v>70341</v>
      </c>
      <c r="B947" s="44">
        <f t="shared" si="5"/>
        <v>31</v>
      </c>
      <c r="C947" s="35">
        <v>194.20500000000001</v>
      </c>
      <c r="D947" s="35">
        <v>267.46600000000001</v>
      </c>
      <c r="E947" s="41">
        <v>812.32899999999995</v>
      </c>
      <c r="F947" s="35">
        <v>1274</v>
      </c>
      <c r="G947" s="35">
        <v>50</v>
      </c>
      <c r="H947" s="43">
        <v>600</v>
      </c>
      <c r="I947" s="35">
        <v>695</v>
      </c>
      <c r="J947" s="35">
        <v>0</v>
      </c>
      <c r="K947" s="36"/>
      <c r="L947" s="36"/>
      <c r="M947" s="36"/>
      <c r="N947" s="36"/>
      <c r="O947" s="36"/>
      <c r="P947" s="36"/>
      <c r="Q947" s="36"/>
      <c r="R947" s="36"/>
      <c r="S947" s="36"/>
      <c r="T947" s="36"/>
    </row>
    <row r="948" spans="1:20" ht="15.75">
      <c r="A948" s="13">
        <v>70372</v>
      </c>
      <c r="B948" s="44">
        <f t="shared" si="5"/>
        <v>31</v>
      </c>
      <c r="C948" s="35">
        <v>194.20500000000001</v>
      </c>
      <c r="D948" s="35">
        <v>267.46600000000001</v>
      </c>
      <c r="E948" s="41">
        <v>812.32899999999995</v>
      </c>
      <c r="F948" s="35">
        <v>1274</v>
      </c>
      <c r="G948" s="35">
        <v>50</v>
      </c>
      <c r="H948" s="43">
        <v>600</v>
      </c>
      <c r="I948" s="35">
        <v>695</v>
      </c>
      <c r="J948" s="35">
        <v>0</v>
      </c>
      <c r="K948" s="36"/>
      <c r="L948" s="36"/>
      <c r="M948" s="36"/>
      <c r="N948" s="36"/>
      <c r="O948" s="36"/>
      <c r="P948" s="36"/>
      <c r="Q948" s="36"/>
      <c r="R948" s="36"/>
      <c r="S948" s="36"/>
      <c r="T948" s="36"/>
    </row>
    <row r="949" spans="1:20" ht="15.75">
      <c r="A949" s="13">
        <v>70402</v>
      </c>
      <c r="B949" s="44">
        <f t="shared" si="5"/>
        <v>30</v>
      </c>
      <c r="C949" s="35">
        <v>194.20500000000001</v>
      </c>
      <c r="D949" s="35">
        <v>267.46600000000001</v>
      </c>
      <c r="E949" s="41">
        <v>812.32899999999995</v>
      </c>
      <c r="F949" s="35">
        <v>1274</v>
      </c>
      <c r="G949" s="35">
        <v>50</v>
      </c>
      <c r="H949" s="43">
        <v>600</v>
      </c>
      <c r="I949" s="35">
        <v>695</v>
      </c>
      <c r="J949" s="35">
        <v>0</v>
      </c>
      <c r="K949" s="36"/>
      <c r="L949" s="36"/>
      <c r="M949" s="36"/>
      <c r="N949" s="36"/>
      <c r="O949" s="36"/>
      <c r="P949" s="36"/>
      <c r="Q949" s="36"/>
      <c r="R949" s="36"/>
      <c r="S949" s="36"/>
      <c r="T949" s="36"/>
    </row>
    <row r="950" spans="1:20" ht="15.75">
      <c r="A950" s="13">
        <v>70433</v>
      </c>
      <c r="B950" s="44">
        <f t="shared" si="5"/>
        <v>31</v>
      </c>
      <c r="C950" s="35">
        <v>131.881</v>
      </c>
      <c r="D950" s="35">
        <v>277.16699999999997</v>
      </c>
      <c r="E950" s="41">
        <v>829.952</v>
      </c>
      <c r="F950" s="35">
        <v>1239</v>
      </c>
      <c r="G950" s="35">
        <v>75</v>
      </c>
      <c r="H950" s="43">
        <v>600</v>
      </c>
      <c r="I950" s="35">
        <v>695</v>
      </c>
      <c r="J950" s="35">
        <v>0</v>
      </c>
      <c r="K950" s="36"/>
      <c r="L950" s="36"/>
      <c r="M950" s="36"/>
      <c r="N950" s="36"/>
      <c r="O950" s="36"/>
      <c r="P950" s="36"/>
      <c r="Q950" s="36"/>
      <c r="R950" s="36"/>
      <c r="S950" s="36"/>
      <c r="T950" s="36"/>
    </row>
    <row r="951" spans="1:20" ht="15.75">
      <c r="A951" s="13">
        <v>70463</v>
      </c>
      <c r="B951" s="44">
        <f t="shared" si="5"/>
        <v>30</v>
      </c>
      <c r="C951" s="35">
        <v>122.58</v>
      </c>
      <c r="D951" s="35">
        <v>297.94099999999997</v>
      </c>
      <c r="E951" s="41">
        <v>729.47900000000004</v>
      </c>
      <c r="F951" s="35">
        <v>1150</v>
      </c>
      <c r="G951" s="35">
        <v>100</v>
      </c>
      <c r="H951" s="43">
        <v>600</v>
      </c>
      <c r="I951" s="35">
        <v>695</v>
      </c>
      <c r="J951" s="35">
        <v>50</v>
      </c>
      <c r="K951" s="36"/>
      <c r="L951" s="36"/>
      <c r="M951" s="36"/>
      <c r="N951" s="36"/>
      <c r="O951" s="36"/>
      <c r="P951" s="36"/>
      <c r="Q951" s="36"/>
      <c r="R951" s="36"/>
      <c r="S951" s="36"/>
      <c r="T951" s="36"/>
    </row>
    <row r="952" spans="1:20" ht="15.75">
      <c r="A952" s="13">
        <v>70494</v>
      </c>
      <c r="B952" s="44">
        <f t="shared" si="5"/>
        <v>31</v>
      </c>
      <c r="C952" s="35">
        <v>122.58</v>
      </c>
      <c r="D952" s="35">
        <v>297.94099999999997</v>
      </c>
      <c r="E952" s="41">
        <v>729.47900000000004</v>
      </c>
      <c r="F952" s="35">
        <v>1150</v>
      </c>
      <c r="G952" s="35">
        <v>100</v>
      </c>
      <c r="H952" s="43">
        <v>600</v>
      </c>
      <c r="I952" s="35">
        <v>695</v>
      </c>
      <c r="J952" s="35">
        <v>50</v>
      </c>
      <c r="K952" s="36"/>
      <c r="L952" s="36"/>
      <c r="M952" s="36"/>
      <c r="N952" s="36"/>
      <c r="O952" s="36"/>
      <c r="P952" s="36"/>
      <c r="Q952" s="36"/>
      <c r="R952" s="36"/>
      <c r="S952" s="36"/>
      <c r="T952" s="36"/>
    </row>
    <row r="953" spans="1:20" ht="15.75">
      <c r="A953" s="13">
        <v>70525</v>
      </c>
      <c r="B953" s="44">
        <f t="shared" si="5"/>
        <v>31</v>
      </c>
      <c r="C953" s="35">
        <v>122.58</v>
      </c>
      <c r="D953" s="35">
        <v>297.94099999999997</v>
      </c>
      <c r="E953" s="41">
        <v>729.47900000000004</v>
      </c>
      <c r="F953" s="35">
        <v>1150</v>
      </c>
      <c r="G953" s="35">
        <v>100</v>
      </c>
      <c r="H953" s="43">
        <v>600</v>
      </c>
      <c r="I953" s="35">
        <v>695</v>
      </c>
      <c r="J953" s="35">
        <v>50</v>
      </c>
      <c r="K953" s="36"/>
      <c r="L953" s="36"/>
      <c r="M953" s="36"/>
      <c r="N953" s="36"/>
      <c r="O953" s="36"/>
      <c r="P953" s="36"/>
      <c r="Q953" s="36"/>
      <c r="R953" s="36"/>
      <c r="S953" s="36"/>
      <c r="T953" s="36"/>
    </row>
    <row r="954" spans="1:20" ht="15.75">
      <c r="A954" s="13">
        <v>70553</v>
      </c>
      <c r="B954" s="44">
        <f t="shared" si="5"/>
        <v>28</v>
      </c>
      <c r="C954" s="35">
        <v>122.58</v>
      </c>
      <c r="D954" s="35">
        <v>297.94099999999997</v>
      </c>
      <c r="E954" s="41">
        <v>729.47900000000004</v>
      </c>
      <c r="F954" s="35">
        <v>1150</v>
      </c>
      <c r="G954" s="35">
        <v>100</v>
      </c>
      <c r="H954" s="43">
        <v>600</v>
      </c>
      <c r="I954" s="35">
        <v>695</v>
      </c>
      <c r="J954" s="35">
        <v>50</v>
      </c>
      <c r="K954" s="36"/>
      <c r="L954" s="36"/>
      <c r="M954" s="36"/>
      <c r="N954" s="36"/>
      <c r="O954" s="36"/>
      <c r="P954" s="36"/>
      <c r="Q954" s="36"/>
      <c r="R954" s="36"/>
      <c r="S954" s="36"/>
      <c r="T954" s="36"/>
    </row>
    <row r="955" spans="1:20" ht="15.75">
      <c r="A955" s="13">
        <v>70584</v>
      </c>
      <c r="B955" s="44">
        <f t="shared" si="5"/>
        <v>31</v>
      </c>
      <c r="C955" s="35">
        <v>122.58</v>
      </c>
      <c r="D955" s="35">
        <v>297.94099999999997</v>
      </c>
      <c r="E955" s="41">
        <v>729.47900000000004</v>
      </c>
      <c r="F955" s="35">
        <v>1150</v>
      </c>
      <c r="G955" s="35">
        <v>100</v>
      </c>
      <c r="H955" s="43">
        <v>600</v>
      </c>
      <c r="I955" s="35">
        <v>695</v>
      </c>
      <c r="J955" s="35">
        <v>50</v>
      </c>
      <c r="K955" s="36"/>
      <c r="L955" s="36"/>
      <c r="M955" s="36"/>
      <c r="N955" s="36"/>
      <c r="O955" s="36"/>
      <c r="P955" s="36"/>
      <c r="Q955" s="36"/>
      <c r="R955" s="36"/>
      <c r="S955" s="36"/>
      <c r="T955" s="36"/>
    </row>
    <row r="956" spans="1:20" ht="15.75">
      <c r="A956" s="13">
        <v>70614</v>
      </c>
      <c r="B956" s="44">
        <f t="shared" si="5"/>
        <v>30</v>
      </c>
      <c r="C956" s="35">
        <v>141.29300000000001</v>
      </c>
      <c r="D956" s="35">
        <v>267.99299999999999</v>
      </c>
      <c r="E956" s="41">
        <v>829.71400000000006</v>
      </c>
      <c r="F956" s="35">
        <v>1239</v>
      </c>
      <c r="G956" s="35">
        <v>100</v>
      </c>
      <c r="H956" s="43">
        <v>600</v>
      </c>
      <c r="I956" s="35">
        <v>695</v>
      </c>
      <c r="J956" s="35">
        <v>50</v>
      </c>
      <c r="K956" s="36"/>
      <c r="L956" s="36"/>
      <c r="M956" s="36"/>
      <c r="N956" s="36"/>
      <c r="O956" s="36"/>
      <c r="P956" s="36"/>
      <c r="Q956" s="36"/>
      <c r="R956" s="36"/>
      <c r="S956" s="36"/>
      <c r="T956" s="36"/>
    </row>
    <row r="957" spans="1:20" ht="15.75">
      <c r="A957" s="13">
        <v>70645</v>
      </c>
      <c r="B957" s="44">
        <f t="shared" si="5"/>
        <v>31</v>
      </c>
      <c r="C957" s="35">
        <v>194.20500000000001</v>
      </c>
      <c r="D957" s="35">
        <v>267.46600000000001</v>
      </c>
      <c r="E957" s="41">
        <v>812.32899999999995</v>
      </c>
      <c r="F957" s="35">
        <v>1274</v>
      </c>
      <c r="G957" s="35">
        <v>75</v>
      </c>
      <c r="H957" s="43">
        <v>600</v>
      </c>
      <c r="I957" s="35">
        <v>695</v>
      </c>
      <c r="J957" s="35">
        <v>50</v>
      </c>
      <c r="K957" s="36"/>
      <c r="L957" s="36"/>
      <c r="M957" s="36"/>
      <c r="N957" s="36"/>
      <c r="O957" s="36"/>
      <c r="P957" s="36"/>
      <c r="Q957" s="36"/>
      <c r="R957" s="36"/>
      <c r="S957" s="36"/>
      <c r="T957" s="36"/>
    </row>
    <row r="958" spans="1:20" ht="15.75">
      <c r="A958" s="13">
        <v>70675</v>
      </c>
      <c r="B958" s="44">
        <f t="shared" si="5"/>
        <v>30</v>
      </c>
      <c r="C958" s="35">
        <v>194.20500000000001</v>
      </c>
      <c r="D958" s="35">
        <v>267.46600000000001</v>
      </c>
      <c r="E958" s="41">
        <v>812.32899999999995</v>
      </c>
      <c r="F958" s="35">
        <v>1274</v>
      </c>
      <c r="G958" s="35">
        <v>50</v>
      </c>
      <c r="H958" s="43">
        <v>600</v>
      </c>
      <c r="I958" s="35">
        <v>695</v>
      </c>
      <c r="J958" s="35">
        <v>50</v>
      </c>
      <c r="K958" s="36"/>
      <c r="L958" s="36"/>
      <c r="M958" s="36"/>
      <c r="N958" s="36"/>
      <c r="O958" s="36"/>
      <c r="P958" s="36"/>
      <c r="Q958" s="36"/>
      <c r="R958" s="36"/>
      <c r="S958" s="36"/>
      <c r="T958" s="36"/>
    </row>
    <row r="959" spans="1:20" ht="15.75">
      <c r="A959" s="13">
        <v>70706</v>
      </c>
      <c r="B959" s="44">
        <f t="shared" si="5"/>
        <v>31</v>
      </c>
      <c r="C959" s="35">
        <v>194.20500000000001</v>
      </c>
      <c r="D959" s="35">
        <v>267.46600000000001</v>
      </c>
      <c r="E959" s="41">
        <v>812.32899999999995</v>
      </c>
      <c r="F959" s="35">
        <v>1274</v>
      </c>
      <c r="G959" s="35">
        <v>50</v>
      </c>
      <c r="H959" s="43">
        <v>600</v>
      </c>
      <c r="I959" s="35">
        <v>695</v>
      </c>
      <c r="J959" s="35">
        <v>0</v>
      </c>
      <c r="K959" s="36"/>
      <c r="L959" s="36"/>
      <c r="M959" s="36"/>
      <c r="N959" s="36"/>
      <c r="O959" s="36"/>
      <c r="P959" s="36"/>
      <c r="Q959" s="36"/>
      <c r="R959" s="36"/>
      <c r="S959" s="36"/>
      <c r="T959" s="36"/>
    </row>
    <row r="960" spans="1:20" ht="15.75">
      <c r="A960" s="13">
        <v>70737</v>
      </c>
      <c r="B960" s="44">
        <f t="shared" si="5"/>
        <v>31</v>
      </c>
      <c r="C960" s="35">
        <v>194.20500000000001</v>
      </c>
      <c r="D960" s="35">
        <v>267.46600000000001</v>
      </c>
      <c r="E960" s="41">
        <v>812.32899999999995</v>
      </c>
      <c r="F960" s="35">
        <v>1274</v>
      </c>
      <c r="G960" s="35">
        <v>50</v>
      </c>
      <c r="H960" s="43">
        <v>600</v>
      </c>
      <c r="I960" s="35">
        <v>695</v>
      </c>
      <c r="J960" s="35">
        <v>0</v>
      </c>
      <c r="K960" s="36"/>
      <c r="L960" s="36"/>
      <c r="M960" s="36"/>
      <c r="N960" s="36"/>
      <c r="O960" s="36"/>
      <c r="P960" s="36"/>
      <c r="Q960" s="36"/>
      <c r="R960" s="36"/>
      <c r="S960" s="36"/>
      <c r="T960" s="36"/>
    </row>
    <row r="961" spans="1:20" ht="15.75">
      <c r="A961" s="13">
        <v>70767</v>
      </c>
      <c r="B961" s="44">
        <f t="shared" si="5"/>
        <v>30</v>
      </c>
      <c r="C961" s="35">
        <v>194.20500000000001</v>
      </c>
      <c r="D961" s="35">
        <v>267.46600000000001</v>
      </c>
      <c r="E961" s="41">
        <v>812.32899999999995</v>
      </c>
      <c r="F961" s="35">
        <v>1274</v>
      </c>
      <c r="G961" s="35">
        <v>50</v>
      </c>
      <c r="H961" s="43">
        <v>600</v>
      </c>
      <c r="I961" s="35">
        <v>695</v>
      </c>
      <c r="J961" s="35">
        <v>0</v>
      </c>
      <c r="K961" s="36"/>
      <c r="L961" s="36"/>
      <c r="M961" s="36"/>
      <c r="N961" s="36"/>
      <c r="O961" s="36"/>
      <c r="P961" s="36"/>
      <c r="Q961" s="36"/>
      <c r="R961" s="36"/>
      <c r="S961" s="36"/>
      <c r="T961" s="36"/>
    </row>
    <row r="962" spans="1:20" ht="15.75">
      <c r="A962" s="13">
        <v>70798</v>
      </c>
      <c r="B962" s="44">
        <f t="shared" si="5"/>
        <v>31</v>
      </c>
      <c r="C962" s="35">
        <v>131.881</v>
      </c>
      <c r="D962" s="35">
        <v>277.16699999999997</v>
      </c>
      <c r="E962" s="41">
        <v>829.952</v>
      </c>
      <c r="F962" s="35">
        <v>1239</v>
      </c>
      <c r="G962" s="35">
        <v>75</v>
      </c>
      <c r="H962" s="43">
        <v>600</v>
      </c>
      <c r="I962" s="35">
        <v>695</v>
      </c>
      <c r="J962" s="35">
        <v>0</v>
      </c>
      <c r="K962" s="36"/>
      <c r="L962" s="36"/>
      <c r="M962" s="36"/>
      <c r="N962" s="36"/>
      <c r="O962" s="36"/>
      <c r="P962" s="36"/>
      <c r="Q962" s="36"/>
      <c r="R962" s="36"/>
      <c r="S962" s="36"/>
      <c r="T962" s="36"/>
    </row>
    <row r="963" spans="1:20" ht="15.75">
      <c r="A963" s="13">
        <v>70828</v>
      </c>
      <c r="B963" s="44">
        <f t="shared" si="5"/>
        <v>30</v>
      </c>
      <c r="C963" s="35">
        <v>122.58</v>
      </c>
      <c r="D963" s="35">
        <v>297.94099999999997</v>
      </c>
      <c r="E963" s="41">
        <v>729.47900000000004</v>
      </c>
      <c r="F963" s="35">
        <v>1150</v>
      </c>
      <c r="G963" s="35">
        <v>100</v>
      </c>
      <c r="H963" s="43">
        <v>600</v>
      </c>
      <c r="I963" s="35">
        <v>695</v>
      </c>
      <c r="J963" s="35">
        <v>50</v>
      </c>
      <c r="K963" s="36"/>
      <c r="L963" s="36"/>
      <c r="M963" s="36"/>
      <c r="N963" s="36"/>
      <c r="O963" s="36"/>
      <c r="P963" s="36"/>
      <c r="Q963" s="36"/>
      <c r="R963" s="36"/>
      <c r="S963" s="36"/>
      <c r="T963" s="36"/>
    </row>
    <row r="964" spans="1:20" ht="15.75">
      <c r="A964" s="13">
        <v>70859</v>
      </c>
      <c r="B964" s="44">
        <f t="shared" si="5"/>
        <v>31</v>
      </c>
      <c r="C964" s="35">
        <v>122.58</v>
      </c>
      <c r="D964" s="35">
        <v>297.94099999999997</v>
      </c>
      <c r="E964" s="41">
        <v>729.47900000000004</v>
      </c>
      <c r="F964" s="35">
        <v>1150</v>
      </c>
      <c r="G964" s="35">
        <v>100</v>
      </c>
      <c r="H964" s="43">
        <v>600</v>
      </c>
      <c r="I964" s="35">
        <v>695</v>
      </c>
      <c r="J964" s="35">
        <v>50</v>
      </c>
      <c r="K964" s="36"/>
      <c r="L964" s="36"/>
      <c r="M964" s="36"/>
      <c r="N964" s="36"/>
      <c r="O964" s="36"/>
      <c r="P964" s="36"/>
      <c r="Q964" s="36"/>
      <c r="R964" s="36"/>
      <c r="S964" s="36"/>
      <c r="T964" s="36"/>
    </row>
    <row r="965" spans="1:20" ht="15.75">
      <c r="A965" s="13">
        <v>70890</v>
      </c>
      <c r="B965" s="44">
        <f t="shared" ref="B965:B1028" si="6">EOMONTH(A965,0)-EOMONTH(A965,-1)</f>
        <v>31</v>
      </c>
      <c r="C965" s="35">
        <v>122.58</v>
      </c>
      <c r="D965" s="35">
        <v>297.94099999999997</v>
      </c>
      <c r="E965" s="41">
        <v>729.47900000000004</v>
      </c>
      <c r="F965" s="35">
        <v>1150</v>
      </c>
      <c r="G965" s="35">
        <v>100</v>
      </c>
      <c r="H965" s="43">
        <v>600</v>
      </c>
      <c r="I965" s="35">
        <v>695</v>
      </c>
      <c r="J965" s="35">
        <v>50</v>
      </c>
      <c r="K965" s="36"/>
      <c r="L965" s="36"/>
      <c r="M965" s="36"/>
      <c r="N965" s="36"/>
      <c r="O965" s="36"/>
      <c r="P965" s="36"/>
      <c r="Q965" s="36"/>
      <c r="R965" s="36"/>
      <c r="S965" s="36"/>
      <c r="T965" s="36"/>
    </row>
    <row r="966" spans="1:20" ht="15.75">
      <c r="A966" s="13">
        <v>70918</v>
      </c>
      <c r="B966" s="44">
        <f t="shared" si="6"/>
        <v>28</v>
      </c>
      <c r="C966" s="35">
        <v>122.58</v>
      </c>
      <c r="D966" s="35">
        <v>297.94099999999997</v>
      </c>
      <c r="E966" s="41">
        <v>729.47900000000004</v>
      </c>
      <c r="F966" s="35">
        <v>1150</v>
      </c>
      <c r="G966" s="35">
        <v>100</v>
      </c>
      <c r="H966" s="43">
        <v>600</v>
      </c>
      <c r="I966" s="35">
        <v>695</v>
      </c>
      <c r="J966" s="35">
        <v>50</v>
      </c>
      <c r="K966" s="36"/>
      <c r="L966" s="36"/>
      <c r="M966" s="36"/>
      <c r="N966" s="36"/>
      <c r="O966" s="36"/>
      <c r="P966" s="36"/>
      <c r="Q966" s="36"/>
      <c r="R966" s="36"/>
      <c r="S966" s="36"/>
      <c r="T966" s="36"/>
    </row>
    <row r="967" spans="1:20" ht="15.75">
      <c r="A967" s="13">
        <v>70949</v>
      </c>
      <c r="B967" s="44">
        <f t="shared" si="6"/>
        <v>31</v>
      </c>
      <c r="C967" s="35">
        <v>122.58</v>
      </c>
      <c r="D967" s="35">
        <v>297.94099999999997</v>
      </c>
      <c r="E967" s="41">
        <v>729.47900000000004</v>
      </c>
      <c r="F967" s="35">
        <v>1150</v>
      </c>
      <c r="G967" s="35">
        <v>100</v>
      </c>
      <c r="H967" s="43">
        <v>600</v>
      </c>
      <c r="I967" s="35">
        <v>695</v>
      </c>
      <c r="J967" s="35">
        <v>50</v>
      </c>
      <c r="K967" s="36"/>
      <c r="L967" s="36"/>
      <c r="M967" s="36"/>
      <c r="N967" s="36"/>
      <c r="O967" s="36"/>
      <c r="P967" s="36"/>
      <c r="Q967" s="36"/>
      <c r="R967" s="36"/>
      <c r="S967" s="36"/>
      <c r="T967" s="36"/>
    </row>
    <row r="968" spans="1:20" ht="15.75">
      <c r="A968" s="13">
        <v>70979</v>
      </c>
      <c r="B968" s="44">
        <f t="shared" si="6"/>
        <v>30</v>
      </c>
      <c r="C968" s="35">
        <v>141.29300000000001</v>
      </c>
      <c r="D968" s="35">
        <v>267.99299999999999</v>
      </c>
      <c r="E968" s="41">
        <v>829.71400000000006</v>
      </c>
      <c r="F968" s="35">
        <v>1239</v>
      </c>
      <c r="G968" s="35">
        <v>100</v>
      </c>
      <c r="H968" s="43">
        <v>600</v>
      </c>
      <c r="I968" s="35">
        <v>695</v>
      </c>
      <c r="J968" s="35">
        <v>50</v>
      </c>
      <c r="K968" s="36"/>
      <c r="L968" s="36"/>
      <c r="M968" s="36"/>
      <c r="N968" s="36"/>
      <c r="O968" s="36"/>
      <c r="P968" s="36"/>
      <c r="Q968" s="36"/>
      <c r="R968" s="36"/>
      <c r="S968" s="36"/>
      <c r="T968" s="36"/>
    </row>
    <row r="969" spans="1:20" ht="15.75">
      <c r="A969" s="13">
        <v>71010</v>
      </c>
      <c r="B969" s="44">
        <f t="shared" si="6"/>
        <v>31</v>
      </c>
      <c r="C969" s="35">
        <v>194.20500000000001</v>
      </c>
      <c r="D969" s="35">
        <v>267.46600000000001</v>
      </c>
      <c r="E969" s="41">
        <v>812.32899999999995</v>
      </c>
      <c r="F969" s="35">
        <v>1274</v>
      </c>
      <c r="G969" s="35">
        <v>75</v>
      </c>
      <c r="H969" s="43">
        <v>600</v>
      </c>
      <c r="I969" s="35">
        <v>695</v>
      </c>
      <c r="J969" s="35">
        <v>50</v>
      </c>
      <c r="K969" s="36"/>
      <c r="L969" s="36"/>
      <c r="M969" s="36"/>
      <c r="N969" s="36"/>
      <c r="O969" s="36"/>
      <c r="P969" s="36"/>
      <c r="Q969" s="36"/>
      <c r="R969" s="36"/>
      <c r="S969" s="36"/>
      <c r="T969" s="36"/>
    </row>
    <row r="970" spans="1:20" ht="15.75">
      <c r="A970" s="13">
        <v>71040</v>
      </c>
      <c r="B970" s="44">
        <f t="shared" si="6"/>
        <v>30</v>
      </c>
      <c r="C970" s="35">
        <v>194.20500000000001</v>
      </c>
      <c r="D970" s="35">
        <v>267.46600000000001</v>
      </c>
      <c r="E970" s="41">
        <v>812.32899999999995</v>
      </c>
      <c r="F970" s="35">
        <v>1274</v>
      </c>
      <c r="G970" s="35">
        <v>50</v>
      </c>
      <c r="H970" s="43">
        <v>600</v>
      </c>
      <c r="I970" s="35">
        <v>695</v>
      </c>
      <c r="J970" s="35">
        <v>50</v>
      </c>
      <c r="K970" s="36"/>
      <c r="L970" s="36"/>
      <c r="M970" s="36"/>
      <c r="N970" s="36"/>
      <c r="O970" s="36"/>
      <c r="P970" s="36"/>
      <c r="Q970" s="36"/>
      <c r="R970" s="36"/>
      <c r="S970" s="36"/>
      <c r="T970" s="36"/>
    </row>
    <row r="971" spans="1:20" ht="15.75">
      <c r="A971" s="13">
        <v>71071</v>
      </c>
      <c r="B971" s="44">
        <f t="shared" si="6"/>
        <v>31</v>
      </c>
      <c r="C971" s="35">
        <v>194.20500000000001</v>
      </c>
      <c r="D971" s="35">
        <v>267.46600000000001</v>
      </c>
      <c r="E971" s="41">
        <v>812.32899999999995</v>
      </c>
      <c r="F971" s="35">
        <v>1274</v>
      </c>
      <c r="G971" s="35">
        <v>50</v>
      </c>
      <c r="H971" s="43">
        <v>600</v>
      </c>
      <c r="I971" s="35">
        <v>695</v>
      </c>
      <c r="J971" s="35">
        <v>0</v>
      </c>
      <c r="K971" s="36"/>
      <c r="L971" s="36"/>
      <c r="M971" s="36"/>
      <c r="N971" s="36"/>
      <c r="O971" s="36"/>
      <c r="P971" s="36"/>
      <c r="Q971" s="36"/>
      <c r="R971" s="36"/>
      <c r="S971" s="36"/>
      <c r="T971" s="36"/>
    </row>
    <row r="972" spans="1:20" ht="15.75">
      <c r="A972" s="13">
        <v>71102</v>
      </c>
      <c r="B972" s="44">
        <f t="shared" si="6"/>
        <v>31</v>
      </c>
      <c r="C972" s="35">
        <v>194.20500000000001</v>
      </c>
      <c r="D972" s="35">
        <v>267.46600000000001</v>
      </c>
      <c r="E972" s="41">
        <v>812.32899999999995</v>
      </c>
      <c r="F972" s="35">
        <v>1274</v>
      </c>
      <c r="G972" s="35">
        <v>50</v>
      </c>
      <c r="H972" s="43">
        <v>600</v>
      </c>
      <c r="I972" s="35">
        <v>695</v>
      </c>
      <c r="J972" s="35">
        <v>0</v>
      </c>
      <c r="K972" s="36"/>
      <c r="L972" s="36"/>
      <c r="M972" s="36"/>
      <c r="N972" s="36"/>
      <c r="O972" s="36"/>
      <c r="P972" s="36"/>
      <c r="Q972" s="36"/>
      <c r="R972" s="36"/>
      <c r="S972" s="36"/>
      <c r="T972" s="36"/>
    </row>
    <row r="973" spans="1:20" ht="15.75">
      <c r="A973" s="13">
        <v>71132</v>
      </c>
      <c r="B973" s="44">
        <f t="shared" si="6"/>
        <v>30</v>
      </c>
      <c r="C973" s="35">
        <v>194.20500000000001</v>
      </c>
      <c r="D973" s="35">
        <v>267.46600000000001</v>
      </c>
      <c r="E973" s="41">
        <v>812.32899999999995</v>
      </c>
      <c r="F973" s="35">
        <v>1274</v>
      </c>
      <c r="G973" s="35">
        <v>50</v>
      </c>
      <c r="H973" s="43">
        <v>600</v>
      </c>
      <c r="I973" s="35">
        <v>695</v>
      </c>
      <c r="J973" s="35">
        <v>0</v>
      </c>
      <c r="K973" s="36"/>
      <c r="L973" s="36"/>
      <c r="M973" s="36"/>
      <c r="N973" s="36"/>
      <c r="O973" s="36"/>
      <c r="P973" s="36"/>
      <c r="Q973" s="36"/>
      <c r="R973" s="36"/>
      <c r="S973" s="36"/>
      <c r="T973" s="36"/>
    </row>
    <row r="974" spans="1:20" ht="15.75">
      <c r="A974" s="13">
        <v>71163</v>
      </c>
      <c r="B974" s="44">
        <f t="shared" si="6"/>
        <v>31</v>
      </c>
      <c r="C974" s="35">
        <v>131.881</v>
      </c>
      <c r="D974" s="35">
        <v>277.16699999999997</v>
      </c>
      <c r="E974" s="41">
        <v>829.952</v>
      </c>
      <c r="F974" s="35">
        <v>1239</v>
      </c>
      <c r="G974" s="35">
        <v>75</v>
      </c>
      <c r="H974" s="43">
        <v>600</v>
      </c>
      <c r="I974" s="35">
        <v>695</v>
      </c>
      <c r="J974" s="35">
        <v>0</v>
      </c>
      <c r="K974" s="36"/>
      <c r="L974" s="36"/>
      <c r="M974" s="36"/>
      <c r="N974" s="36"/>
      <c r="O974" s="36"/>
      <c r="P974" s="36"/>
      <c r="Q974" s="36"/>
      <c r="R974" s="36"/>
      <c r="S974" s="36"/>
      <c r="T974" s="36"/>
    </row>
    <row r="975" spans="1:20" ht="15.75">
      <c r="A975" s="13">
        <v>71193</v>
      </c>
      <c r="B975" s="44">
        <f t="shared" si="6"/>
        <v>30</v>
      </c>
      <c r="C975" s="35">
        <v>122.58</v>
      </c>
      <c r="D975" s="35">
        <v>297.94099999999997</v>
      </c>
      <c r="E975" s="41">
        <v>729.47900000000004</v>
      </c>
      <c r="F975" s="35">
        <v>1150</v>
      </c>
      <c r="G975" s="35">
        <v>100</v>
      </c>
      <c r="H975" s="43">
        <v>600</v>
      </c>
      <c r="I975" s="35">
        <v>695</v>
      </c>
      <c r="J975" s="35">
        <v>50</v>
      </c>
      <c r="K975" s="36"/>
      <c r="L975" s="36"/>
      <c r="M975" s="36"/>
      <c r="N975" s="36"/>
      <c r="O975" s="36"/>
      <c r="P975" s="36"/>
      <c r="Q975" s="36"/>
      <c r="R975" s="36"/>
      <c r="S975" s="36"/>
      <c r="T975" s="36"/>
    </row>
    <row r="976" spans="1:20" ht="15.75">
      <c r="A976" s="13">
        <v>71224</v>
      </c>
      <c r="B976" s="44">
        <f t="shared" si="6"/>
        <v>31</v>
      </c>
      <c r="C976" s="35">
        <v>122.58</v>
      </c>
      <c r="D976" s="35">
        <v>297.94099999999997</v>
      </c>
      <c r="E976" s="41">
        <v>729.47900000000004</v>
      </c>
      <c r="F976" s="35">
        <v>1150</v>
      </c>
      <c r="G976" s="35">
        <v>100</v>
      </c>
      <c r="H976" s="43">
        <v>600</v>
      </c>
      <c r="I976" s="35">
        <v>695</v>
      </c>
      <c r="J976" s="35">
        <v>50</v>
      </c>
      <c r="K976" s="36"/>
      <c r="L976" s="36"/>
      <c r="M976" s="36"/>
      <c r="N976" s="36"/>
      <c r="O976" s="36"/>
      <c r="P976" s="36"/>
      <c r="Q976" s="36"/>
      <c r="R976" s="36"/>
      <c r="S976" s="36"/>
      <c r="T976" s="36"/>
    </row>
    <row r="977" spans="1:20" ht="15.75">
      <c r="A977" s="13">
        <v>71255</v>
      </c>
      <c r="B977" s="44">
        <f t="shared" si="6"/>
        <v>31</v>
      </c>
      <c r="C977" s="35">
        <v>122.58</v>
      </c>
      <c r="D977" s="35">
        <v>297.94099999999997</v>
      </c>
      <c r="E977" s="41">
        <v>729.47900000000004</v>
      </c>
      <c r="F977" s="35">
        <v>1150</v>
      </c>
      <c r="G977" s="35">
        <v>100</v>
      </c>
      <c r="H977" s="43">
        <v>600</v>
      </c>
      <c r="I977" s="35">
        <v>695</v>
      </c>
      <c r="J977" s="35">
        <v>50</v>
      </c>
      <c r="K977" s="36"/>
      <c r="L977" s="36"/>
      <c r="M977" s="36"/>
      <c r="N977" s="36"/>
      <c r="O977" s="36"/>
      <c r="P977" s="36"/>
      <c r="Q977" s="36"/>
      <c r="R977" s="36"/>
      <c r="S977" s="36"/>
      <c r="T977" s="36"/>
    </row>
    <row r="978" spans="1:20" ht="15.75">
      <c r="A978" s="13">
        <v>71283</v>
      </c>
      <c r="B978" s="44">
        <f t="shared" si="6"/>
        <v>28</v>
      </c>
      <c r="C978" s="35">
        <v>122.58</v>
      </c>
      <c r="D978" s="35">
        <v>297.94099999999997</v>
      </c>
      <c r="E978" s="41">
        <v>729.47900000000004</v>
      </c>
      <c r="F978" s="35">
        <v>1150</v>
      </c>
      <c r="G978" s="35">
        <v>100</v>
      </c>
      <c r="H978" s="43">
        <v>600</v>
      </c>
      <c r="I978" s="35">
        <v>695</v>
      </c>
      <c r="J978" s="35">
        <v>50</v>
      </c>
      <c r="K978" s="36"/>
      <c r="L978" s="36"/>
      <c r="M978" s="36"/>
      <c r="N978" s="36"/>
      <c r="O978" s="36"/>
      <c r="P978" s="36"/>
      <c r="Q978" s="36"/>
      <c r="R978" s="36"/>
      <c r="S978" s="36"/>
      <c r="T978" s="36"/>
    </row>
    <row r="979" spans="1:20" ht="15.75">
      <c r="A979" s="13">
        <v>71314</v>
      </c>
      <c r="B979" s="44">
        <f t="shared" si="6"/>
        <v>31</v>
      </c>
      <c r="C979" s="35">
        <v>122.58</v>
      </c>
      <c r="D979" s="35">
        <v>297.94099999999997</v>
      </c>
      <c r="E979" s="41">
        <v>729.47900000000004</v>
      </c>
      <c r="F979" s="35">
        <v>1150</v>
      </c>
      <c r="G979" s="35">
        <v>100</v>
      </c>
      <c r="H979" s="43">
        <v>600</v>
      </c>
      <c r="I979" s="35">
        <v>695</v>
      </c>
      <c r="J979" s="35">
        <v>50</v>
      </c>
      <c r="K979" s="36"/>
      <c r="L979" s="36"/>
      <c r="M979" s="36"/>
      <c r="N979" s="36"/>
      <c r="O979" s="36"/>
      <c r="P979" s="36"/>
      <c r="Q979" s="36"/>
      <c r="R979" s="36"/>
      <c r="S979" s="36"/>
      <c r="T979" s="36"/>
    </row>
    <row r="980" spans="1:20" ht="15.75">
      <c r="A980" s="13">
        <v>71344</v>
      </c>
      <c r="B980" s="44">
        <f t="shared" si="6"/>
        <v>30</v>
      </c>
      <c r="C980" s="35">
        <v>141.29300000000001</v>
      </c>
      <c r="D980" s="35">
        <v>267.99299999999999</v>
      </c>
      <c r="E980" s="41">
        <v>829.71400000000006</v>
      </c>
      <c r="F980" s="35">
        <v>1239</v>
      </c>
      <c r="G980" s="35">
        <v>100</v>
      </c>
      <c r="H980" s="43">
        <v>600</v>
      </c>
      <c r="I980" s="35">
        <v>695</v>
      </c>
      <c r="J980" s="35">
        <v>50</v>
      </c>
      <c r="K980" s="36"/>
      <c r="L980" s="36"/>
      <c r="M980" s="36"/>
      <c r="N980" s="36"/>
      <c r="O980" s="36"/>
      <c r="P980" s="36"/>
      <c r="Q980" s="36"/>
      <c r="R980" s="36"/>
      <c r="S980" s="36"/>
      <c r="T980" s="36"/>
    </row>
    <row r="981" spans="1:20" ht="15.75">
      <c r="A981" s="13">
        <v>71375</v>
      </c>
      <c r="B981" s="44">
        <f t="shared" si="6"/>
        <v>31</v>
      </c>
      <c r="C981" s="35">
        <v>194.20500000000001</v>
      </c>
      <c r="D981" s="35">
        <v>267.46600000000001</v>
      </c>
      <c r="E981" s="41">
        <v>812.32899999999995</v>
      </c>
      <c r="F981" s="35">
        <v>1274</v>
      </c>
      <c r="G981" s="35">
        <v>75</v>
      </c>
      <c r="H981" s="43">
        <v>600</v>
      </c>
      <c r="I981" s="35">
        <v>695</v>
      </c>
      <c r="J981" s="35">
        <v>50</v>
      </c>
      <c r="K981" s="36"/>
      <c r="L981" s="36"/>
      <c r="M981" s="36"/>
      <c r="N981" s="36"/>
      <c r="O981" s="36"/>
      <c r="P981" s="36"/>
      <c r="Q981" s="36"/>
      <c r="R981" s="36"/>
      <c r="S981" s="36"/>
      <c r="T981" s="36"/>
    </row>
    <row r="982" spans="1:20" ht="15.75">
      <c r="A982" s="13">
        <v>71405</v>
      </c>
      <c r="B982" s="44">
        <f t="shared" si="6"/>
        <v>30</v>
      </c>
      <c r="C982" s="35">
        <v>194.20500000000001</v>
      </c>
      <c r="D982" s="35">
        <v>267.46600000000001</v>
      </c>
      <c r="E982" s="41">
        <v>812.32899999999995</v>
      </c>
      <c r="F982" s="35">
        <v>1274</v>
      </c>
      <c r="G982" s="35">
        <v>50</v>
      </c>
      <c r="H982" s="43">
        <v>600</v>
      </c>
      <c r="I982" s="35">
        <v>695</v>
      </c>
      <c r="J982" s="35">
        <v>50</v>
      </c>
      <c r="K982" s="36"/>
      <c r="L982" s="36"/>
      <c r="M982" s="36"/>
      <c r="N982" s="36"/>
      <c r="O982" s="36"/>
      <c r="P982" s="36"/>
      <c r="Q982" s="36"/>
      <c r="R982" s="36"/>
      <c r="S982" s="36"/>
      <c r="T982" s="36"/>
    </row>
    <row r="983" spans="1:20" ht="15.75">
      <c r="A983" s="13">
        <v>71436</v>
      </c>
      <c r="B983" s="44">
        <f t="shared" si="6"/>
        <v>31</v>
      </c>
      <c r="C983" s="35">
        <v>194.20500000000001</v>
      </c>
      <c r="D983" s="35">
        <v>267.46600000000001</v>
      </c>
      <c r="E983" s="41">
        <v>812.32899999999995</v>
      </c>
      <c r="F983" s="35">
        <v>1274</v>
      </c>
      <c r="G983" s="35">
        <v>50</v>
      </c>
      <c r="H983" s="43">
        <v>600</v>
      </c>
      <c r="I983" s="35">
        <v>695</v>
      </c>
      <c r="J983" s="35">
        <v>0</v>
      </c>
      <c r="K983" s="36"/>
      <c r="L983" s="36"/>
      <c r="M983" s="36"/>
      <c r="N983" s="36"/>
      <c r="O983" s="36"/>
      <c r="P983" s="36"/>
      <c r="Q983" s="36"/>
      <c r="R983" s="36"/>
      <c r="S983" s="36"/>
      <c r="T983" s="36"/>
    </row>
    <row r="984" spans="1:20" ht="15.75">
      <c r="A984" s="13">
        <v>71467</v>
      </c>
      <c r="B984" s="44">
        <f t="shared" si="6"/>
        <v>31</v>
      </c>
      <c r="C984" s="35">
        <v>194.20500000000001</v>
      </c>
      <c r="D984" s="35">
        <v>267.46600000000001</v>
      </c>
      <c r="E984" s="41">
        <v>812.32899999999995</v>
      </c>
      <c r="F984" s="35">
        <v>1274</v>
      </c>
      <c r="G984" s="35">
        <v>50</v>
      </c>
      <c r="H984" s="43">
        <v>600</v>
      </c>
      <c r="I984" s="35">
        <v>695</v>
      </c>
      <c r="J984" s="35">
        <v>0</v>
      </c>
      <c r="K984" s="36"/>
      <c r="L984" s="36"/>
      <c r="M984" s="36"/>
      <c r="N984" s="36"/>
      <c r="O984" s="36"/>
      <c r="P984" s="36"/>
      <c r="Q984" s="36"/>
      <c r="R984" s="36"/>
      <c r="S984" s="36"/>
      <c r="T984" s="36"/>
    </row>
    <row r="985" spans="1:20" ht="15.75">
      <c r="A985" s="13">
        <v>71497</v>
      </c>
      <c r="B985" s="44">
        <f t="shared" si="6"/>
        <v>30</v>
      </c>
      <c r="C985" s="35">
        <v>194.20500000000001</v>
      </c>
      <c r="D985" s="35">
        <v>267.46600000000001</v>
      </c>
      <c r="E985" s="41">
        <v>812.32899999999995</v>
      </c>
      <c r="F985" s="35">
        <v>1274</v>
      </c>
      <c r="G985" s="35">
        <v>50</v>
      </c>
      <c r="H985" s="43">
        <v>600</v>
      </c>
      <c r="I985" s="35">
        <v>695</v>
      </c>
      <c r="J985" s="35">
        <v>0</v>
      </c>
      <c r="K985" s="36"/>
      <c r="L985" s="36"/>
      <c r="M985" s="36"/>
      <c r="N985" s="36"/>
      <c r="O985" s="36"/>
      <c r="P985" s="36"/>
      <c r="Q985" s="36"/>
      <c r="R985" s="36"/>
      <c r="S985" s="36"/>
      <c r="T985" s="36"/>
    </row>
    <row r="986" spans="1:20" ht="15.75">
      <c r="A986" s="13">
        <v>71528</v>
      </c>
      <c r="B986" s="44">
        <f t="shared" si="6"/>
        <v>31</v>
      </c>
      <c r="C986" s="35">
        <v>131.881</v>
      </c>
      <c r="D986" s="35">
        <v>277.16699999999997</v>
      </c>
      <c r="E986" s="41">
        <v>829.952</v>
      </c>
      <c r="F986" s="35">
        <v>1239</v>
      </c>
      <c r="G986" s="35">
        <v>75</v>
      </c>
      <c r="H986" s="43">
        <v>600</v>
      </c>
      <c r="I986" s="35">
        <v>695</v>
      </c>
      <c r="J986" s="35">
        <v>0</v>
      </c>
      <c r="K986" s="36"/>
      <c r="L986" s="36"/>
      <c r="M986" s="36"/>
      <c r="N986" s="36"/>
      <c r="O986" s="36"/>
      <c r="P986" s="36"/>
      <c r="Q986" s="36"/>
      <c r="R986" s="36"/>
      <c r="S986" s="36"/>
      <c r="T986" s="36"/>
    </row>
    <row r="987" spans="1:20" ht="15.75">
      <c r="A987" s="13">
        <v>71558</v>
      </c>
      <c r="B987" s="44">
        <f t="shared" si="6"/>
        <v>30</v>
      </c>
      <c r="C987" s="35">
        <v>122.58</v>
      </c>
      <c r="D987" s="35">
        <v>297.94099999999997</v>
      </c>
      <c r="E987" s="41">
        <v>729.47900000000004</v>
      </c>
      <c r="F987" s="35">
        <v>1150</v>
      </c>
      <c r="G987" s="35">
        <v>100</v>
      </c>
      <c r="H987" s="43">
        <v>600</v>
      </c>
      <c r="I987" s="35">
        <v>695</v>
      </c>
      <c r="J987" s="35">
        <v>50</v>
      </c>
      <c r="K987" s="36"/>
      <c r="L987" s="36"/>
      <c r="M987" s="36"/>
      <c r="N987" s="36"/>
      <c r="O987" s="36"/>
      <c r="P987" s="36"/>
      <c r="Q987" s="36"/>
      <c r="R987" s="36"/>
      <c r="S987" s="36"/>
      <c r="T987" s="36"/>
    </row>
    <row r="988" spans="1:20" ht="15.75">
      <c r="A988" s="13">
        <v>71589</v>
      </c>
      <c r="B988" s="44">
        <f t="shared" si="6"/>
        <v>31</v>
      </c>
      <c r="C988" s="35">
        <v>122.58</v>
      </c>
      <c r="D988" s="35">
        <v>297.94099999999997</v>
      </c>
      <c r="E988" s="41">
        <v>729.47900000000004</v>
      </c>
      <c r="F988" s="35">
        <v>1150</v>
      </c>
      <c r="G988" s="35">
        <v>100</v>
      </c>
      <c r="H988" s="43">
        <v>600</v>
      </c>
      <c r="I988" s="35">
        <v>695</v>
      </c>
      <c r="J988" s="35">
        <v>50</v>
      </c>
      <c r="K988" s="36"/>
      <c r="L988" s="36"/>
      <c r="M988" s="36"/>
      <c r="N988" s="36"/>
      <c r="O988" s="36"/>
      <c r="P988" s="36"/>
      <c r="Q988" s="36"/>
      <c r="R988" s="36"/>
      <c r="S988" s="36"/>
      <c r="T988" s="36"/>
    </row>
    <row r="989" spans="1:20" ht="15.75">
      <c r="A989" s="13">
        <v>71620</v>
      </c>
      <c r="B989" s="44">
        <f t="shared" si="6"/>
        <v>31</v>
      </c>
      <c r="C989" s="35">
        <v>122.58</v>
      </c>
      <c r="D989" s="35">
        <v>297.94099999999997</v>
      </c>
      <c r="E989" s="41">
        <v>729.47900000000004</v>
      </c>
      <c r="F989" s="35">
        <v>1150</v>
      </c>
      <c r="G989" s="35">
        <v>100</v>
      </c>
      <c r="H989" s="43">
        <v>600</v>
      </c>
      <c r="I989" s="35">
        <v>695</v>
      </c>
      <c r="J989" s="35">
        <v>50</v>
      </c>
      <c r="K989" s="36"/>
      <c r="L989" s="36"/>
      <c r="M989" s="36"/>
      <c r="N989" s="36"/>
      <c r="O989" s="36"/>
      <c r="P989" s="36"/>
      <c r="Q989" s="36"/>
      <c r="R989" s="36"/>
      <c r="S989" s="36"/>
      <c r="T989" s="36"/>
    </row>
    <row r="990" spans="1:20" ht="15.75">
      <c r="A990" s="13">
        <v>71649</v>
      </c>
      <c r="B990" s="44">
        <f t="shared" si="6"/>
        <v>29</v>
      </c>
      <c r="C990" s="35">
        <v>122.58</v>
      </c>
      <c r="D990" s="35">
        <v>297.94099999999997</v>
      </c>
      <c r="E990" s="41">
        <v>729.47900000000004</v>
      </c>
      <c r="F990" s="35">
        <v>1150</v>
      </c>
      <c r="G990" s="35">
        <v>100</v>
      </c>
      <c r="H990" s="43">
        <v>600</v>
      </c>
      <c r="I990" s="35">
        <v>695</v>
      </c>
      <c r="J990" s="35">
        <v>50</v>
      </c>
      <c r="K990" s="36"/>
      <c r="L990" s="36"/>
      <c r="M990" s="36"/>
      <c r="N990" s="36"/>
      <c r="O990" s="36"/>
      <c r="P990" s="36"/>
      <c r="Q990" s="36"/>
      <c r="R990" s="36"/>
      <c r="S990" s="36"/>
      <c r="T990" s="36"/>
    </row>
    <row r="991" spans="1:20" ht="15.75">
      <c r="A991" s="13">
        <v>71680</v>
      </c>
      <c r="B991" s="44">
        <f t="shared" si="6"/>
        <v>31</v>
      </c>
      <c r="C991" s="35">
        <v>122.58</v>
      </c>
      <c r="D991" s="35">
        <v>297.94099999999997</v>
      </c>
      <c r="E991" s="41">
        <v>729.47900000000004</v>
      </c>
      <c r="F991" s="35">
        <v>1150</v>
      </c>
      <c r="G991" s="35">
        <v>100</v>
      </c>
      <c r="H991" s="43">
        <v>600</v>
      </c>
      <c r="I991" s="35">
        <v>695</v>
      </c>
      <c r="J991" s="35">
        <v>50</v>
      </c>
      <c r="K991" s="36"/>
      <c r="L991" s="36"/>
      <c r="M991" s="36"/>
      <c r="N991" s="36"/>
      <c r="O991" s="36"/>
      <c r="P991" s="36"/>
      <c r="Q991" s="36"/>
      <c r="R991" s="36"/>
      <c r="S991" s="36"/>
      <c r="T991" s="36"/>
    </row>
    <row r="992" spans="1:20" ht="15.75">
      <c r="A992" s="13">
        <v>71710</v>
      </c>
      <c r="B992" s="44">
        <f t="shared" si="6"/>
        <v>30</v>
      </c>
      <c r="C992" s="35">
        <v>141.29300000000001</v>
      </c>
      <c r="D992" s="35">
        <v>267.99299999999999</v>
      </c>
      <c r="E992" s="41">
        <v>829.71400000000006</v>
      </c>
      <c r="F992" s="35">
        <v>1239</v>
      </c>
      <c r="G992" s="35">
        <v>100</v>
      </c>
      <c r="H992" s="43">
        <v>600</v>
      </c>
      <c r="I992" s="35">
        <v>695</v>
      </c>
      <c r="J992" s="35">
        <v>50</v>
      </c>
      <c r="K992" s="36"/>
      <c r="L992" s="36"/>
      <c r="M992" s="36"/>
      <c r="N992" s="36"/>
      <c r="O992" s="36"/>
      <c r="P992" s="36"/>
      <c r="Q992" s="36"/>
      <c r="R992" s="36"/>
      <c r="S992" s="36"/>
      <c r="T992" s="36"/>
    </row>
    <row r="993" spans="1:20" ht="15.75">
      <c r="A993" s="13">
        <v>71741</v>
      </c>
      <c r="B993" s="44">
        <f t="shared" si="6"/>
        <v>31</v>
      </c>
      <c r="C993" s="35">
        <v>194.20500000000001</v>
      </c>
      <c r="D993" s="35">
        <v>267.46600000000001</v>
      </c>
      <c r="E993" s="41">
        <v>812.32899999999995</v>
      </c>
      <c r="F993" s="35">
        <v>1274</v>
      </c>
      <c r="G993" s="35">
        <v>75</v>
      </c>
      <c r="H993" s="43">
        <v>600</v>
      </c>
      <c r="I993" s="35">
        <v>695</v>
      </c>
      <c r="J993" s="35">
        <v>50</v>
      </c>
      <c r="K993" s="36"/>
      <c r="L993" s="36"/>
      <c r="M993" s="36"/>
      <c r="N993" s="36"/>
      <c r="O993" s="36"/>
      <c r="P993" s="36"/>
      <c r="Q993" s="36"/>
      <c r="R993" s="36"/>
      <c r="S993" s="36"/>
      <c r="T993" s="36"/>
    </row>
    <row r="994" spans="1:20" ht="15.75">
      <c r="A994" s="13">
        <v>71771</v>
      </c>
      <c r="B994" s="44">
        <f t="shared" si="6"/>
        <v>30</v>
      </c>
      <c r="C994" s="35">
        <v>194.20500000000001</v>
      </c>
      <c r="D994" s="35">
        <v>267.46600000000001</v>
      </c>
      <c r="E994" s="41">
        <v>812.32899999999995</v>
      </c>
      <c r="F994" s="35">
        <v>1274</v>
      </c>
      <c r="G994" s="35">
        <v>50</v>
      </c>
      <c r="H994" s="43">
        <v>600</v>
      </c>
      <c r="I994" s="35">
        <v>695</v>
      </c>
      <c r="J994" s="35">
        <v>50</v>
      </c>
      <c r="K994" s="36"/>
      <c r="L994" s="36"/>
      <c r="M994" s="36"/>
      <c r="N994" s="36"/>
      <c r="O994" s="36"/>
      <c r="P994" s="36"/>
      <c r="Q994" s="36"/>
      <c r="R994" s="36"/>
      <c r="S994" s="36"/>
      <c r="T994" s="36"/>
    </row>
    <row r="995" spans="1:20" ht="15.75">
      <c r="A995" s="13">
        <v>71802</v>
      </c>
      <c r="B995" s="44">
        <f t="shared" si="6"/>
        <v>31</v>
      </c>
      <c r="C995" s="35">
        <v>194.20500000000001</v>
      </c>
      <c r="D995" s="35">
        <v>267.46600000000001</v>
      </c>
      <c r="E995" s="41">
        <v>812.32899999999995</v>
      </c>
      <c r="F995" s="35">
        <v>1274</v>
      </c>
      <c r="G995" s="35">
        <v>50</v>
      </c>
      <c r="H995" s="43">
        <v>600</v>
      </c>
      <c r="I995" s="35">
        <v>695</v>
      </c>
      <c r="J995" s="35">
        <v>0</v>
      </c>
      <c r="K995" s="36"/>
      <c r="L995" s="36"/>
      <c r="M995" s="36"/>
      <c r="N995" s="36"/>
      <c r="O995" s="36"/>
      <c r="P995" s="36"/>
      <c r="Q995" s="36"/>
      <c r="R995" s="36"/>
      <c r="S995" s="36"/>
      <c r="T995" s="36"/>
    </row>
    <row r="996" spans="1:20" ht="15.75">
      <c r="A996" s="13">
        <v>71833</v>
      </c>
      <c r="B996" s="44">
        <f t="shared" si="6"/>
        <v>31</v>
      </c>
      <c r="C996" s="35">
        <v>194.20500000000001</v>
      </c>
      <c r="D996" s="35">
        <v>267.46600000000001</v>
      </c>
      <c r="E996" s="41">
        <v>812.32899999999995</v>
      </c>
      <c r="F996" s="35">
        <v>1274</v>
      </c>
      <c r="G996" s="35">
        <v>50</v>
      </c>
      <c r="H996" s="43">
        <v>600</v>
      </c>
      <c r="I996" s="35">
        <v>695</v>
      </c>
      <c r="J996" s="35">
        <v>0</v>
      </c>
      <c r="K996" s="36"/>
      <c r="L996" s="36"/>
      <c r="M996" s="36"/>
      <c r="N996" s="36"/>
      <c r="O996" s="36"/>
      <c r="P996" s="36"/>
      <c r="Q996" s="36"/>
      <c r="R996" s="36"/>
      <c r="S996" s="36"/>
      <c r="T996" s="36"/>
    </row>
    <row r="997" spans="1:20" ht="15.75">
      <c r="A997" s="13">
        <v>71863</v>
      </c>
      <c r="B997" s="44">
        <f t="shared" si="6"/>
        <v>30</v>
      </c>
      <c r="C997" s="35">
        <v>194.20500000000001</v>
      </c>
      <c r="D997" s="35">
        <v>267.46600000000001</v>
      </c>
      <c r="E997" s="41">
        <v>812.32899999999995</v>
      </c>
      <c r="F997" s="35">
        <v>1274</v>
      </c>
      <c r="G997" s="35">
        <v>50</v>
      </c>
      <c r="H997" s="43">
        <v>600</v>
      </c>
      <c r="I997" s="35">
        <v>695</v>
      </c>
      <c r="J997" s="35">
        <v>0</v>
      </c>
      <c r="K997" s="36"/>
      <c r="L997" s="36"/>
      <c r="M997" s="36"/>
      <c r="N997" s="36"/>
      <c r="O997" s="36"/>
      <c r="P997" s="36"/>
      <c r="Q997" s="36"/>
      <c r="R997" s="36"/>
      <c r="S997" s="36"/>
      <c r="T997" s="36"/>
    </row>
    <row r="998" spans="1:20" ht="15.75">
      <c r="A998" s="13">
        <v>71894</v>
      </c>
      <c r="B998" s="44">
        <f t="shared" si="6"/>
        <v>31</v>
      </c>
      <c r="C998" s="35">
        <v>131.881</v>
      </c>
      <c r="D998" s="35">
        <v>277.16699999999997</v>
      </c>
      <c r="E998" s="41">
        <v>829.952</v>
      </c>
      <c r="F998" s="35">
        <v>1239</v>
      </c>
      <c r="G998" s="35">
        <v>75</v>
      </c>
      <c r="H998" s="43">
        <v>600</v>
      </c>
      <c r="I998" s="35">
        <v>695</v>
      </c>
      <c r="J998" s="35">
        <v>0</v>
      </c>
      <c r="K998" s="36"/>
      <c r="L998" s="36"/>
      <c r="M998" s="36"/>
      <c r="N998" s="36"/>
      <c r="O998" s="36"/>
      <c r="P998" s="36"/>
      <c r="Q998" s="36"/>
      <c r="R998" s="36"/>
      <c r="S998" s="36"/>
      <c r="T998" s="36"/>
    </row>
    <row r="999" spans="1:20" ht="15.75">
      <c r="A999" s="13">
        <v>71924</v>
      </c>
      <c r="B999" s="44">
        <f t="shared" si="6"/>
        <v>30</v>
      </c>
      <c r="C999" s="35">
        <v>122.58</v>
      </c>
      <c r="D999" s="35">
        <v>297.94099999999997</v>
      </c>
      <c r="E999" s="41">
        <v>729.47900000000004</v>
      </c>
      <c r="F999" s="35">
        <v>1150</v>
      </c>
      <c r="G999" s="35">
        <v>100</v>
      </c>
      <c r="H999" s="43">
        <v>600</v>
      </c>
      <c r="I999" s="35">
        <v>695</v>
      </c>
      <c r="J999" s="35">
        <v>50</v>
      </c>
      <c r="K999" s="36"/>
      <c r="L999" s="36"/>
      <c r="M999" s="36"/>
      <c r="N999" s="36"/>
      <c r="O999" s="36"/>
      <c r="P999" s="36"/>
      <c r="Q999" s="36"/>
      <c r="R999" s="36"/>
      <c r="S999" s="36"/>
      <c r="T999" s="36"/>
    </row>
    <row r="1000" spans="1:20" ht="15.75">
      <c r="A1000" s="13">
        <v>71955</v>
      </c>
      <c r="B1000" s="44">
        <f t="shared" si="6"/>
        <v>31</v>
      </c>
      <c r="C1000" s="35">
        <v>122.58</v>
      </c>
      <c r="D1000" s="35">
        <v>297.94099999999997</v>
      </c>
      <c r="E1000" s="41">
        <v>729.47900000000004</v>
      </c>
      <c r="F1000" s="35">
        <v>1150</v>
      </c>
      <c r="G1000" s="35">
        <v>100</v>
      </c>
      <c r="H1000" s="43">
        <v>600</v>
      </c>
      <c r="I1000" s="35">
        <v>695</v>
      </c>
      <c r="J1000" s="35">
        <v>50</v>
      </c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</row>
    <row r="1001" spans="1:20" ht="15.75">
      <c r="A1001" s="13">
        <v>71986</v>
      </c>
      <c r="B1001" s="44">
        <f t="shared" si="6"/>
        <v>31</v>
      </c>
      <c r="C1001" s="35">
        <v>122.58</v>
      </c>
      <c r="D1001" s="35">
        <v>297.94099999999997</v>
      </c>
      <c r="E1001" s="41">
        <v>729.47900000000004</v>
      </c>
      <c r="F1001" s="35">
        <v>1150</v>
      </c>
      <c r="G1001" s="35">
        <v>100</v>
      </c>
      <c r="H1001" s="43">
        <v>600</v>
      </c>
      <c r="I1001" s="35">
        <v>695</v>
      </c>
      <c r="J1001" s="35">
        <v>50</v>
      </c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</row>
    <row r="1002" spans="1:20" ht="15.75">
      <c r="A1002" s="13">
        <v>72014</v>
      </c>
      <c r="B1002" s="44">
        <f t="shared" si="6"/>
        <v>28</v>
      </c>
      <c r="C1002" s="35">
        <v>122.58</v>
      </c>
      <c r="D1002" s="35">
        <v>297.94099999999997</v>
      </c>
      <c r="E1002" s="41">
        <v>729.47900000000004</v>
      </c>
      <c r="F1002" s="35">
        <v>1150</v>
      </c>
      <c r="G1002" s="35">
        <v>100</v>
      </c>
      <c r="H1002" s="43">
        <v>600</v>
      </c>
      <c r="I1002" s="35">
        <v>695</v>
      </c>
      <c r="J1002" s="35">
        <v>50</v>
      </c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</row>
    <row r="1003" spans="1:20" ht="15.75">
      <c r="A1003" s="13">
        <v>72045</v>
      </c>
      <c r="B1003" s="44">
        <f t="shared" si="6"/>
        <v>31</v>
      </c>
      <c r="C1003" s="35">
        <v>122.58</v>
      </c>
      <c r="D1003" s="35">
        <v>297.94099999999997</v>
      </c>
      <c r="E1003" s="41">
        <v>729.47900000000004</v>
      </c>
      <c r="F1003" s="35">
        <v>1150</v>
      </c>
      <c r="G1003" s="35">
        <v>100</v>
      </c>
      <c r="H1003" s="43">
        <v>600</v>
      </c>
      <c r="I1003" s="35">
        <v>695</v>
      </c>
      <c r="J1003" s="35">
        <v>50</v>
      </c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</row>
    <row r="1004" spans="1:20" ht="15.75">
      <c r="A1004" s="13">
        <v>72075</v>
      </c>
      <c r="B1004" s="44">
        <f t="shared" si="6"/>
        <v>30</v>
      </c>
      <c r="C1004" s="35">
        <v>141.29300000000001</v>
      </c>
      <c r="D1004" s="35">
        <v>267.99299999999999</v>
      </c>
      <c r="E1004" s="41">
        <v>829.71400000000006</v>
      </c>
      <c r="F1004" s="35">
        <v>1239</v>
      </c>
      <c r="G1004" s="35">
        <v>100</v>
      </c>
      <c r="H1004" s="43">
        <v>600</v>
      </c>
      <c r="I1004" s="35">
        <v>695</v>
      </c>
      <c r="J1004" s="35">
        <v>50</v>
      </c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</row>
    <row r="1005" spans="1:20" ht="15.75">
      <c r="A1005" s="13">
        <v>72106</v>
      </c>
      <c r="B1005" s="44">
        <f t="shared" si="6"/>
        <v>31</v>
      </c>
      <c r="C1005" s="35">
        <v>194.20500000000001</v>
      </c>
      <c r="D1005" s="35">
        <v>267.46600000000001</v>
      </c>
      <c r="E1005" s="41">
        <v>812.32899999999995</v>
      </c>
      <c r="F1005" s="35">
        <v>1274</v>
      </c>
      <c r="G1005" s="35">
        <v>75</v>
      </c>
      <c r="H1005" s="43">
        <v>600</v>
      </c>
      <c r="I1005" s="35">
        <v>695</v>
      </c>
      <c r="J1005" s="35">
        <v>50</v>
      </c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</row>
    <row r="1006" spans="1:20" ht="15.75">
      <c r="A1006" s="13">
        <v>72136</v>
      </c>
      <c r="B1006" s="44">
        <f t="shared" si="6"/>
        <v>30</v>
      </c>
      <c r="C1006" s="35">
        <v>194.20500000000001</v>
      </c>
      <c r="D1006" s="35">
        <v>267.46600000000001</v>
      </c>
      <c r="E1006" s="41">
        <v>812.32899999999995</v>
      </c>
      <c r="F1006" s="35">
        <v>1274</v>
      </c>
      <c r="G1006" s="35">
        <v>50</v>
      </c>
      <c r="H1006" s="43">
        <v>600</v>
      </c>
      <c r="I1006" s="35">
        <v>695</v>
      </c>
      <c r="J1006" s="35">
        <v>50</v>
      </c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</row>
    <row r="1007" spans="1:20" ht="15.75">
      <c r="A1007" s="13">
        <v>72167</v>
      </c>
      <c r="B1007" s="44">
        <f t="shared" si="6"/>
        <v>31</v>
      </c>
      <c r="C1007" s="35">
        <v>194.20500000000001</v>
      </c>
      <c r="D1007" s="35">
        <v>267.46600000000001</v>
      </c>
      <c r="E1007" s="41">
        <v>812.32899999999995</v>
      </c>
      <c r="F1007" s="35">
        <v>1274</v>
      </c>
      <c r="G1007" s="35">
        <v>50</v>
      </c>
      <c r="H1007" s="43">
        <v>600</v>
      </c>
      <c r="I1007" s="35">
        <v>695</v>
      </c>
      <c r="J1007" s="35">
        <v>0</v>
      </c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</row>
    <row r="1008" spans="1:20" ht="15.75">
      <c r="A1008" s="13">
        <v>72198</v>
      </c>
      <c r="B1008" s="44">
        <f t="shared" si="6"/>
        <v>31</v>
      </c>
      <c r="C1008" s="35">
        <v>194.20500000000001</v>
      </c>
      <c r="D1008" s="35">
        <v>267.46600000000001</v>
      </c>
      <c r="E1008" s="41">
        <v>812.32899999999995</v>
      </c>
      <c r="F1008" s="35">
        <v>1274</v>
      </c>
      <c r="G1008" s="35">
        <v>50</v>
      </c>
      <c r="H1008" s="43">
        <v>600</v>
      </c>
      <c r="I1008" s="35">
        <v>695</v>
      </c>
      <c r="J1008" s="35">
        <v>0</v>
      </c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</row>
    <row r="1009" spans="1:20" ht="15.75">
      <c r="A1009" s="13">
        <v>72228</v>
      </c>
      <c r="B1009" s="44">
        <f t="shared" si="6"/>
        <v>30</v>
      </c>
      <c r="C1009" s="35">
        <v>194.20500000000001</v>
      </c>
      <c r="D1009" s="35">
        <v>267.46600000000001</v>
      </c>
      <c r="E1009" s="41">
        <v>812.32899999999995</v>
      </c>
      <c r="F1009" s="35">
        <v>1274</v>
      </c>
      <c r="G1009" s="35">
        <v>50</v>
      </c>
      <c r="H1009" s="43">
        <v>600</v>
      </c>
      <c r="I1009" s="35">
        <v>695</v>
      </c>
      <c r="J1009" s="35">
        <v>0</v>
      </c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</row>
    <row r="1010" spans="1:20" ht="15.75">
      <c r="A1010" s="13">
        <v>72259</v>
      </c>
      <c r="B1010" s="44">
        <f t="shared" si="6"/>
        <v>31</v>
      </c>
      <c r="C1010" s="35">
        <v>131.881</v>
      </c>
      <c r="D1010" s="35">
        <v>277.16699999999997</v>
      </c>
      <c r="E1010" s="41">
        <v>829.952</v>
      </c>
      <c r="F1010" s="35">
        <v>1239</v>
      </c>
      <c r="G1010" s="35">
        <v>75</v>
      </c>
      <c r="H1010" s="43">
        <v>600</v>
      </c>
      <c r="I1010" s="35">
        <v>695</v>
      </c>
      <c r="J1010" s="35">
        <v>0</v>
      </c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</row>
    <row r="1011" spans="1:20" ht="15.75">
      <c r="A1011" s="13">
        <v>72289</v>
      </c>
      <c r="B1011" s="44">
        <f t="shared" si="6"/>
        <v>30</v>
      </c>
      <c r="C1011" s="35">
        <v>122.58</v>
      </c>
      <c r="D1011" s="35">
        <v>297.94099999999997</v>
      </c>
      <c r="E1011" s="41">
        <v>729.47900000000004</v>
      </c>
      <c r="F1011" s="35">
        <v>1150</v>
      </c>
      <c r="G1011" s="35">
        <v>100</v>
      </c>
      <c r="H1011" s="43">
        <v>600</v>
      </c>
      <c r="I1011" s="35">
        <v>695</v>
      </c>
      <c r="J1011" s="35">
        <v>50</v>
      </c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</row>
    <row r="1012" spans="1:20" ht="15.75">
      <c r="A1012" s="13">
        <v>72320</v>
      </c>
      <c r="B1012" s="44">
        <f t="shared" si="6"/>
        <v>31</v>
      </c>
      <c r="C1012" s="35">
        <v>122.58</v>
      </c>
      <c r="D1012" s="35">
        <v>297.94099999999997</v>
      </c>
      <c r="E1012" s="41">
        <v>729.47900000000004</v>
      </c>
      <c r="F1012" s="35">
        <v>1150</v>
      </c>
      <c r="G1012" s="35">
        <v>100</v>
      </c>
      <c r="H1012" s="43">
        <v>600</v>
      </c>
      <c r="I1012" s="35">
        <v>695</v>
      </c>
      <c r="J1012" s="35">
        <v>50</v>
      </c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</row>
    <row r="1013" spans="1:20" ht="15.75">
      <c r="A1013" s="13">
        <v>72351</v>
      </c>
      <c r="B1013" s="44">
        <f t="shared" si="6"/>
        <v>31</v>
      </c>
      <c r="C1013" s="35">
        <v>122.58</v>
      </c>
      <c r="D1013" s="35">
        <v>297.94099999999997</v>
      </c>
      <c r="E1013" s="41">
        <v>729.47900000000004</v>
      </c>
      <c r="F1013" s="35">
        <v>1150</v>
      </c>
      <c r="G1013" s="35">
        <v>100</v>
      </c>
      <c r="H1013" s="43">
        <v>600</v>
      </c>
      <c r="I1013" s="35">
        <v>695</v>
      </c>
      <c r="J1013" s="35">
        <v>50</v>
      </c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</row>
    <row r="1014" spans="1:20" ht="15.75">
      <c r="A1014" s="13">
        <v>72379</v>
      </c>
      <c r="B1014" s="44">
        <f t="shared" si="6"/>
        <v>28</v>
      </c>
      <c r="C1014" s="35">
        <v>122.58</v>
      </c>
      <c r="D1014" s="35">
        <v>297.94099999999997</v>
      </c>
      <c r="E1014" s="41">
        <v>729.47900000000004</v>
      </c>
      <c r="F1014" s="35">
        <v>1150</v>
      </c>
      <c r="G1014" s="35">
        <v>100</v>
      </c>
      <c r="H1014" s="43">
        <v>600</v>
      </c>
      <c r="I1014" s="35">
        <v>695</v>
      </c>
      <c r="J1014" s="35">
        <v>50</v>
      </c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</row>
    <row r="1015" spans="1:20" ht="15.75">
      <c r="A1015" s="13">
        <v>72410</v>
      </c>
      <c r="B1015" s="44">
        <f t="shared" si="6"/>
        <v>31</v>
      </c>
      <c r="C1015" s="35">
        <v>122.58</v>
      </c>
      <c r="D1015" s="35">
        <v>297.94099999999997</v>
      </c>
      <c r="E1015" s="41">
        <v>729.47900000000004</v>
      </c>
      <c r="F1015" s="35">
        <v>1150</v>
      </c>
      <c r="G1015" s="35">
        <v>100</v>
      </c>
      <c r="H1015" s="43">
        <v>600</v>
      </c>
      <c r="I1015" s="35">
        <v>695</v>
      </c>
      <c r="J1015" s="35">
        <v>50</v>
      </c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</row>
    <row r="1016" spans="1:20" ht="15.75">
      <c r="A1016" s="13">
        <v>72440</v>
      </c>
      <c r="B1016" s="44">
        <f t="shared" si="6"/>
        <v>30</v>
      </c>
      <c r="C1016" s="35">
        <v>141.29300000000001</v>
      </c>
      <c r="D1016" s="35">
        <v>267.99299999999999</v>
      </c>
      <c r="E1016" s="41">
        <v>829.71400000000006</v>
      </c>
      <c r="F1016" s="35">
        <v>1239</v>
      </c>
      <c r="G1016" s="35">
        <v>100</v>
      </c>
      <c r="H1016" s="43">
        <v>600</v>
      </c>
      <c r="I1016" s="35">
        <v>695</v>
      </c>
      <c r="J1016" s="35">
        <v>50</v>
      </c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</row>
    <row r="1017" spans="1:20" ht="15.75">
      <c r="A1017" s="13">
        <v>72471</v>
      </c>
      <c r="B1017" s="44">
        <f t="shared" si="6"/>
        <v>31</v>
      </c>
      <c r="C1017" s="35">
        <v>194.20500000000001</v>
      </c>
      <c r="D1017" s="35">
        <v>267.46600000000001</v>
      </c>
      <c r="E1017" s="41">
        <v>812.32899999999995</v>
      </c>
      <c r="F1017" s="35">
        <v>1274</v>
      </c>
      <c r="G1017" s="35">
        <v>75</v>
      </c>
      <c r="H1017" s="43">
        <v>600</v>
      </c>
      <c r="I1017" s="35">
        <v>695</v>
      </c>
      <c r="J1017" s="35">
        <v>50</v>
      </c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</row>
    <row r="1018" spans="1:20" ht="15.75">
      <c r="A1018" s="13">
        <v>72501</v>
      </c>
      <c r="B1018" s="44">
        <f t="shared" si="6"/>
        <v>30</v>
      </c>
      <c r="C1018" s="35">
        <v>194.20500000000001</v>
      </c>
      <c r="D1018" s="35">
        <v>267.46600000000001</v>
      </c>
      <c r="E1018" s="41">
        <v>812.32899999999995</v>
      </c>
      <c r="F1018" s="35">
        <v>1274</v>
      </c>
      <c r="G1018" s="35">
        <v>50</v>
      </c>
      <c r="H1018" s="43">
        <v>600</v>
      </c>
      <c r="I1018" s="35">
        <v>695</v>
      </c>
      <c r="J1018" s="35">
        <v>50</v>
      </c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</row>
    <row r="1019" spans="1:20" ht="15.75">
      <c r="A1019" s="13">
        <v>72532</v>
      </c>
      <c r="B1019" s="44">
        <f t="shared" si="6"/>
        <v>31</v>
      </c>
      <c r="C1019" s="35">
        <v>194.20500000000001</v>
      </c>
      <c r="D1019" s="35">
        <v>267.46600000000001</v>
      </c>
      <c r="E1019" s="41">
        <v>812.32899999999995</v>
      </c>
      <c r="F1019" s="35">
        <v>1274</v>
      </c>
      <c r="G1019" s="35">
        <v>50</v>
      </c>
      <c r="H1019" s="43">
        <v>600</v>
      </c>
      <c r="I1019" s="35">
        <v>695</v>
      </c>
      <c r="J1019" s="35">
        <v>0</v>
      </c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</row>
    <row r="1020" spans="1:20" ht="15.75">
      <c r="A1020" s="13">
        <v>72563</v>
      </c>
      <c r="B1020" s="44">
        <f t="shared" si="6"/>
        <v>31</v>
      </c>
      <c r="C1020" s="35">
        <v>194.20500000000001</v>
      </c>
      <c r="D1020" s="35">
        <v>267.46600000000001</v>
      </c>
      <c r="E1020" s="41">
        <v>812.32899999999995</v>
      </c>
      <c r="F1020" s="35">
        <v>1274</v>
      </c>
      <c r="G1020" s="35">
        <v>50</v>
      </c>
      <c r="H1020" s="43">
        <v>600</v>
      </c>
      <c r="I1020" s="35">
        <v>695</v>
      </c>
      <c r="J1020" s="35">
        <v>0</v>
      </c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</row>
    <row r="1021" spans="1:20" ht="15.75">
      <c r="A1021" s="13">
        <v>72593</v>
      </c>
      <c r="B1021" s="44">
        <f t="shared" si="6"/>
        <v>30</v>
      </c>
      <c r="C1021" s="35">
        <v>194.20500000000001</v>
      </c>
      <c r="D1021" s="35">
        <v>267.46600000000001</v>
      </c>
      <c r="E1021" s="41">
        <v>812.32899999999995</v>
      </c>
      <c r="F1021" s="35">
        <v>1274</v>
      </c>
      <c r="G1021" s="35">
        <v>50</v>
      </c>
      <c r="H1021" s="43">
        <v>600</v>
      </c>
      <c r="I1021" s="35">
        <v>695</v>
      </c>
      <c r="J1021" s="35">
        <v>0</v>
      </c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</row>
    <row r="1022" spans="1:20" ht="15.75">
      <c r="A1022" s="13">
        <v>72624</v>
      </c>
      <c r="B1022" s="44">
        <f t="shared" si="6"/>
        <v>31</v>
      </c>
      <c r="C1022" s="35">
        <v>131.881</v>
      </c>
      <c r="D1022" s="35">
        <v>277.16699999999997</v>
      </c>
      <c r="E1022" s="41">
        <v>829.952</v>
      </c>
      <c r="F1022" s="35">
        <v>1239</v>
      </c>
      <c r="G1022" s="35">
        <v>75</v>
      </c>
      <c r="H1022" s="43">
        <v>600</v>
      </c>
      <c r="I1022" s="35">
        <v>695</v>
      </c>
      <c r="J1022" s="35">
        <v>0</v>
      </c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</row>
    <row r="1023" spans="1:20" ht="15.75">
      <c r="A1023" s="13">
        <v>72654</v>
      </c>
      <c r="B1023" s="44">
        <f t="shared" si="6"/>
        <v>30</v>
      </c>
      <c r="C1023" s="35">
        <v>122.58</v>
      </c>
      <c r="D1023" s="35">
        <v>297.94099999999997</v>
      </c>
      <c r="E1023" s="41">
        <v>729.47900000000004</v>
      </c>
      <c r="F1023" s="35">
        <v>1150</v>
      </c>
      <c r="G1023" s="35">
        <v>100</v>
      </c>
      <c r="H1023" s="43">
        <v>600</v>
      </c>
      <c r="I1023" s="35">
        <v>695</v>
      </c>
      <c r="J1023" s="35">
        <v>50</v>
      </c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</row>
    <row r="1024" spans="1:20" ht="15.75">
      <c r="A1024" s="13">
        <v>72685</v>
      </c>
      <c r="B1024" s="44">
        <f t="shared" si="6"/>
        <v>31</v>
      </c>
      <c r="C1024" s="35">
        <v>122.58</v>
      </c>
      <c r="D1024" s="35">
        <v>297.94099999999997</v>
      </c>
      <c r="E1024" s="41">
        <v>729.47900000000004</v>
      </c>
      <c r="F1024" s="35">
        <v>1150</v>
      </c>
      <c r="G1024" s="35">
        <v>100</v>
      </c>
      <c r="H1024" s="43">
        <v>600</v>
      </c>
      <c r="I1024" s="35">
        <v>695</v>
      </c>
      <c r="J1024" s="35">
        <v>50</v>
      </c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</row>
    <row r="1025" spans="1:20" ht="15.75">
      <c r="A1025" s="13">
        <v>72716</v>
      </c>
      <c r="B1025" s="44">
        <f t="shared" si="6"/>
        <v>31</v>
      </c>
      <c r="C1025" s="35">
        <v>122.58</v>
      </c>
      <c r="D1025" s="35">
        <v>297.94099999999997</v>
      </c>
      <c r="E1025" s="41">
        <v>729.47900000000004</v>
      </c>
      <c r="F1025" s="35">
        <v>1150</v>
      </c>
      <c r="G1025" s="35">
        <v>100</v>
      </c>
      <c r="H1025" s="43">
        <v>600</v>
      </c>
      <c r="I1025" s="35">
        <v>695</v>
      </c>
      <c r="J1025" s="35">
        <v>50</v>
      </c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</row>
    <row r="1026" spans="1:20" ht="15.75">
      <c r="A1026" s="13">
        <v>72744</v>
      </c>
      <c r="B1026" s="44">
        <f t="shared" si="6"/>
        <v>28</v>
      </c>
      <c r="C1026" s="35">
        <v>122.58</v>
      </c>
      <c r="D1026" s="35">
        <v>297.94099999999997</v>
      </c>
      <c r="E1026" s="41">
        <v>729.47900000000004</v>
      </c>
      <c r="F1026" s="35">
        <v>1150</v>
      </c>
      <c r="G1026" s="35">
        <v>100</v>
      </c>
      <c r="H1026" s="43">
        <v>600</v>
      </c>
      <c r="I1026" s="35">
        <v>695</v>
      </c>
      <c r="J1026" s="35">
        <v>50</v>
      </c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</row>
    <row r="1027" spans="1:20" ht="15.75">
      <c r="A1027" s="13">
        <v>72775</v>
      </c>
      <c r="B1027" s="44">
        <f t="shared" si="6"/>
        <v>31</v>
      </c>
      <c r="C1027" s="35">
        <v>122.58</v>
      </c>
      <c r="D1027" s="35">
        <v>297.94099999999997</v>
      </c>
      <c r="E1027" s="41">
        <v>729.47900000000004</v>
      </c>
      <c r="F1027" s="35">
        <v>1150</v>
      </c>
      <c r="G1027" s="35">
        <v>100</v>
      </c>
      <c r="H1027" s="43">
        <v>600</v>
      </c>
      <c r="I1027" s="35">
        <v>695</v>
      </c>
      <c r="J1027" s="35">
        <v>50</v>
      </c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</row>
    <row r="1028" spans="1:20" ht="15.75">
      <c r="A1028" s="13">
        <v>72805</v>
      </c>
      <c r="B1028" s="44">
        <f t="shared" si="6"/>
        <v>30</v>
      </c>
      <c r="C1028" s="35">
        <v>141.29300000000001</v>
      </c>
      <c r="D1028" s="35">
        <v>267.99299999999999</v>
      </c>
      <c r="E1028" s="41">
        <v>829.71400000000006</v>
      </c>
      <c r="F1028" s="35">
        <v>1239</v>
      </c>
      <c r="G1028" s="35">
        <v>100</v>
      </c>
      <c r="H1028" s="43">
        <v>600</v>
      </c>
      <c r="I1028" s="35">
        <v>695</v>
      </c>
      <c r="J1028" s="35">
        <v>50</v>
      </c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</row>
    <row r="1029" spans="1:20" ht="15.75">
      <c r="A1029" s="13">
        <v>72836</v>
      </c>
      <c r="B1029" s="44">
        <f t="shared" ref="B1029:B1048" si="7">EOMONTH(A1029,0)-EOMONTH(A1029,-1)</f>
        <v>31</v>
      </c>
      <c r="C1029" s="35">
        <v>194.20500000000001</v>
      </c>
      <c r="D1029" s="35">
        <v>267.46600000000001</v>
      </c>
      <c r="E1029" s="41">
        <v>812.32899999999995</v>
      </c>
      <c r="F1029" s="35">
        <v>1274</v>
      </c>
      <c r="G1029" s="35">
        <v>75</v>
      </c>
      <c r="H1029" s="43">
        <v>600</v>
      </c>
      <c r="I1029" s="35">
        <v>695</v>
      </c>
      <c r="J1029" s="35">
        <v>50</v>
      </c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</row>
    <row r="1030" spans="1:20" ht="15.75">
      <c r="A1030" s="13">
        <v>72866</v>
      </c>
      <c r="B1030" s="44">
        <f t="shared" si="7"/>
        <v>30</v>
      </c>
      <c r="C1030" s="35">
        <v>194.20500000000001</v>
      </c>
      <c r="D1030" s="35">
        <v>267.46600000000001</v>
      </c>
      <c r="E1030" s="41">
        <v>812.32899999999995</v>
      </c>
      <c r="F1030" s="35">
        <v>1274</v>
      </c>
      <c r="G1030" s="35">
        <v>50</v>
      </c>
      <c r="H1030" s="43">
        <v>600</v>
      </c>
      <c r="I1030" s="35">
        <v>695</v>
      </c>
      <c r="J1030" s="35">
        <v>50</v>
      </c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</row>
    <row r="1031" spans="1:20" ht="15.75">
      <c r="A1031" s="13">
        <v>72897</v>
      </c>
      <c r="B1031" s="44">
        <f t="shared" si="7"/>
        <v>31</v>
      </c>
      <c r="C1031" s="35">
        <v>194.20500000000001</v>
      </c>
      <c r="D1031" s="35">
        <v>267.46600000000001</v>
      </c>
      <c r="E1031" s="41">
        <v>812.32899999999995</v>
      </c>
      <c r="F1031" s="35">
        <v>1274</v>
      </c>
      <c r="G1031" s="35">
        <v>50</v>
      </c>
      <c r="H1031" s="43">
        <v>600</v>
      </c>
      <c r="I1031" s="35">
        <v>695</v>
      </c>
      <c r="J1031" s="35">
        <v>0</v>
      </c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</row>
    <row r="1032" spans="1:20" ht="15.75">
      <c r="A1032" s="13">
        <v>72928</v>
      </c>
      <c r="B1032" s="44">
        <f t="shared" si="7"/>
        <v>31</v>
      </c>
      <c r="C1032" s="35">
        <v>194.20500000000001</v>
      </c>
      <c r="D1032" s="35">
        <v>267.46600000000001</v>
      </c>
      <c r="E1032" s="41">
        <v>812.32899999999995</v>
      </c>
      <c r="F1032" s="35">
        <v>1274</v>
      </c>
      <c r="G1032" s="35">
        <v>50</v>
      </c>
      <c r="H1032" s="43">
        <v>600</v>
      </c>
      <c r="I1032" s="35">
        <v>695</v>
      </c>
      <c r="J1032" s="35">
        <v>0</v>
      </c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</row>
    <row r="1033" spans="1:20" ht="15.75">
      <c r="A1033" s="13">
        <v>72958</v>
      </c>
      <c r="B1033" s="44">
        <f t="shared" si="7"/>
        <v>30</v>
      </c>
      <c r="C1033" s="35">
        <v>194.20500000000001</v>
      </c>
      <c r="D1033" s="35">
        <v>267.46600000000001</v>
      </c>
      <c r="E1033" s="41">
        <v>812.32899999999995</v>
      </c>
      <c r="F1033" s="35">
        <v>1274</v>
      </c>
      <c r="G1033" s="35">
        <v>50</v>
      </c>
      <c r="H1033" s="43">
        <v>600</v>
      </c>
      <c r="I1033" s="35">
        <v>695</v>
      </c>
      <c r="J1033" s="35">
        <v>0</v>
      </c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</row>
    <row r="1034" spans="1:20" ht="15.75">
      <c r="A1034" s="13">
        <v>72989</v>
      </c>
      <c r="B1034" s="44">
        <f t="shared" si="7"/>
        <v>31</v>
      </c>
      <c r="C1034" s="35">
        <v>131.881</v>
      </c>
      <c r="D1034" s="35">
        <v>277.16699999999997</v>
      </c>
      <c r="E1034" s="41">
        <v>829.952</v>
      </c>
      <c r="F1034" s="35">
        <v>1239</v>
      </c>
      <c r="G1034" s="35">
        <v>75</v>
      </c>
      <c r="H1034" s="43">
        <v>600</v>
      </c>
      <c r="I1034" s="35">
        <v>695</v>
      </c>
      <c r="J1034" s="35">
        <v>0</v>
      </c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</row>
    <row r="1035" spans="1:20" ht="15.75">
      <c r="A1035" s="13">
        <v>73019</v>
      </c>
      <c r="B1035" s="44">
        <f t="shared" si="7"/>
        <v>30</v>
      </c>
      <c r="C1035" s="35">
        <v>122.58</v>
      </c>
      <c r="D1035" s="35">
        <v>297.94099999999997</v>
      </c>
      <c r="E1035" s="41">
        <v>729.47900000000004</v>
      </c>
      <c r="F1035" s="35">
        <v>1150</v>
      </c>
      <c r="G1035" s="35">
        <v>100</v>
      </c>
      <c r="H1035" s="43">
        <v>600</v>
      </c>
      <c r="I1035" s="35">
        <v>695</v>
      </c>
      <c r="J1035" s="35">
        <v>50</v>
      </c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</row>
    <row r="1036" spans="1:20" ht="15.75">
      <c r="A1036" s="13">
        <v>73050</v>
      </c>
      <c r="B1036" s="44">
        <f t="shared" si="7"/>
        <v>31</v>
      </c>
      <c r="C1036" s="35">
        <v>122.58</v>
      </c>
      <c r="D1036" s="35">
        <v>297.94099999999997</v>
      </c>
      <c r="E1036" s="41">
        <v>729.47900000000004</v>
      </c>
      <c r="F1036" s="35">
        <v>1150</v>
      </c>
      <c r="G1036" s="35">
        <v>100</v>
      </c>
      <c r="H1036" s="43">
        <v>600</v>
      </c>
      <c r="I1036" s="35">
        <v>695</v>
      </c>
      <c r="J1036" s="35">
        <v>50</v>
      </c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</row>
    <row r="1037" spans="1:20" ht="15.75">
      <c r="A1037" s="13">
        <v>73081</v>
      </c>
      <c r="B1037" s="44">
        <f t="shared" si="7"/>
        <v>31</v>
      </c>
      <c r="C1037" s="35">
        <v>122.58</v>
      </c>
      <c r="D1037" s="35">
        <v>297.94099999999997</v>
      </c>
      <c r="E1037" s="41">
        <v>729.47900000000004</v>
      </c>
      <c r="F1037" s="35">
        <v>1150</v>
      </c>
      <c r="G1037" s="35">
        <v>100</v>
      </c>
      <c r="H1037" s="43">
        <v>600</v>
      </c>
      <c r="I1037" s="35">
        <v>695</v>
      </c>
      <c r="J1037" s="35">
        <v>50</v>
      </c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</row>
    <row r="1038" spans="1:20" ht="15.75">
      <c r="A1038" s="13">
        <v>73109</v>
      </c>
      <c r="B1038" s="44">
        <f t="shared" si="7"/>
        <v>28</v>
      </c>
      <c r="C1038" s="35">
        <v>122.58</v>
      </c>
      <c r="D1038" s="35">
        <v>297.94099999999997</v>
      </c>
      <c r="E1038" s="41">
        <v>729.47900000000004</v>
      </c>
      <c r="F1038" s="35">
        <v>1150</v>
      </c>
      <c r="G1038" s="35">
        <v>100</v>
      </c>
      <c r="H1038" s="43">
        <v>600</v>
      </c>
      <c r="I1038" s="35">
        <v>695</v>
      </c>
      <c r="J1038" s="35">
        <v>50</v>
      </c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</row>
    <row r="1039" spans="1:20" ht="15.75">
      <c r="A1039" s="13">
        <v>73140</v>
      </c>
      <c r="B1039" s="44">
        <f t="shared" si="7"/>
        <v>31</v>
      </c>
      <c r="C1039" s="35">
        <v>122.58</v>
      </c>
      <c r="D1039" s="35">
        <v>297.94099999999997</v>
      </c>
      <c r="E1039" s="41">
        <v>729.47900000000004</v>
      </c>
      <c r="F1039" s="35">
        <v>1150</v>
      </c>
      <c r="G1039" s="35">
        <v>100</v>
      </c>
      <c r="H1039" s="43">
        <v>600</v>
      </c>
      <c r="I1039" s="35">
        <v>695</v>
      </c>
      <c r="J1039" s="35">
        <v>50</v>
      </c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</row>
    <row r="1040" spans="1:20" ht="15.75">
      <c r="A1040" s="13">
        <v>73170</v>
      </c>
      <c r="B1040" s="44">
        <f t="shared" si="7"/>
        <v>30</v>
      </c>
      <c r="C1040" s="35">
        <v>141.29300000000001</v>
      </c>
      <c r="D1040" s="35">
        <v>267.99299999999999</v>
      </c>
      <c r="E1040" s="41">
        <v>829.71400000000006</v>
      </c>
      <c r="F1040" s="35">
        <v>1239</v>
      </c>
      <c r="G1040" s="35">
        <v>100</v>
      </c>
      <c r="H1040" s="43">
        <v>600</v>
      </c>
      <c r="I1040" s="35">
        <v>695</v>
      </c>
      <c r="J1040" s="35">
        <v>50</v>
      </c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</row>
    <row r="1041" spans="1:20" ht="15.75">
      <c r="A1041" s="13">
        <v>73201</v>
      </c>
      <c r="B1041" s="44">
        <f t="shared" si="7"/>
        <v>31</v>
      </c>
      <c r="C1041" s="35">
        <v>194.20500000000001</v>
      </c>
      <c r="D1041" s="35">
        <v>267.46600000000001</v>
      </c>
      <c r="E1041" s="41">
        <v>812.32899999999995</v>
      </c>
      <c r="F1041" s="35">
        <v>1274</v>
      </c>
      <c r="G1041" s="35">
        <v>75</v>
      </c>
      <c r="H1041" s="43">
        <v>600</v>
      </c>
      <c r="I1041" s="35">
        <v>695</v>
      </c>
      <c r="J1041" s="35">
        <v>50</v>
      </c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</row>
    <row r="1042" spans="1:20" ht="15.75">
      <c r="A1042" s="13">
        <v>73231</v>
      </c>
      <c r="B1042" s="44">
        <f t="shared" si="7"/>
        <v>30</v>
      </c>
      <c r="C1042" s="35">
        <v>194.20500000000001</v>
      </c>
      <c r="D1042" s="35">
        <v>267.46600000000001</v>
      </c>
      <c r="E1042" s="41">
        <v>812.32899999999995</v>
      </c>
      <c r="F1042" s="35">
        <v>1274</v>
      </c>
      <c r="G1042" s="35">
        <v>50</v>
      </c>
      <c r="H1042" s="43">
        <v>600</v>
      </c>
      <c r="I1042" s="35">
        <v>695</v>
      </c>
      <c r="J1042" s="35">
        <v>50</v>
      </c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</row>
    <row r="1043" spans="1:20" ht="15.75">
      <c r="A1043" s="13">
        <v>73262</v>
      </c>
      <c r="B1043" s="44">
        <f t="shared" si="7"/>
        <v>31</v>
      </c>
      <c r="C1043" s="35">
        <v>194.20500000000001</v>
      </c>
      <c r="D1043" s="35">
        <v>267.46600000000001</v>
      </c>
      <c r="E1043" s="41">
        <v>812.32899999999995</v>
      </c>
      <c r="F1043" s="35">
        <v>1274</v>
      </c>
      <c r="G1043" s="35">
        <v>50</v>
      </c>
      <c r="H1043" s="43">
        <v>600</v>
      </c>
      <c r="I1043" s="35">
        <v>695</v>
      </c>
      <c r="J1043" s="35">
        <v>0</v>
      </c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</row>
    <row r="1044" spans="1:20" ht="15.75">
      <c r="A1044" s="13">
        <v>73293</v>
      </c>
      <c r="B1044" s="44">
        <f t="shared" si="7"/>
        <v>31</v>
      </c>
      <c r="C1044" s="35">
        <v>194.20500000000001</v>
      </c>
      <c r="D1044" s="35">
        <v>267.46600000000001</v>
      </c>
      <c r="E1044" s="41">
        <v>812.32899999999995</v>
      </c>
      <c r="F1044" s="35">
        <v>1274</v>
      </c>
      <c r="G1044" s="35">
        <v>50</v>
      </c>
      <c r="H1044" s="43">
        <v>600</v>
      </c>
      <c r="I1044" s="35">
        <v>695</v>
      </c>
      <c r="J1044" s="35">
        <v>0</v>
      </c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</row>
    <row r="1045" spans="1:20" ht="15.75">
      <c r="A1045" s="13">
        <v>73323</v>
      </c>
      <c r="B1045" s="44">
        <f t="shared" si="7"/>
        <v>30</v>
      </c>
      <c r="C1045" s="35">
        <v>194.20500000000001</v>
      </c>
      <c r="D1045" s="35">
        <v>267.46600000000001</v>
      </c>
      <c r="E1045" s="41">
        <v>812.32899999999995</v>
      </c>
      <c r="F1045" s="35">
        <v>1274</v>
      </c>
      <c r="G1045" s="35">
        <v>50</v>
      </c>
      <c r="H1045" s="43">
        <v>600</v>
      </c>
      <c r="I1045" s="35">
        <v>695</v>
      </c>
      <c r="J1045" s="35">
        <v>0</v>
      </c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</row>
    <row r="1046" spans="1:20" ht="15.75">
      <c r="A1046" s="13">
        <v>73354</v>
      </c>
      <c r="B1046" s="44">
        <f t="shared" si="7"/>
        <v>31</v>
      </c>
      <c r="C1046" s="35">
        <v>131.881</v>
      </c>
      <c r="D1046" s="35">
        <v>277.16699999999997</v>
      </c>
      <c r="E1046" s="41">
        <v>829.952</v>
      </c>
      <c r="F1046" s="35">
        <v>1239</v>
      </c>
      <c r="G1046" s="35">
        <v>75</v>
      </c>
      <c r="H1046" s="43">
        <v>600</v>
      </c>
      <c r="I1046" s="35">
        <v>695</v>
      </c>
      <c r="J1046" s="35">
        <v>0</v>
      </c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</row>
    <row r="1047" spans="1:20" ht="15.75">
      <c r="A1047" s="13">
        <v>73384</v>
      </c>
      <c r="B1047" s="44">
        <f t="shared" si="7"/>
        <v>30</v>
      </c>
      <c r="C1047" s="35">
        <v>122.58</v>
      </c>
      <c r="D1047" s="35">
        <v>297.94099999999997</v>
      </c>
      <c r="E1047" s="41">
        <v>729.47900000000004</v>
      </c>
      <c r="F1047" s="35">
        <v>1150</v>
      </c>
      <c r="G1047" s="35">
        <v>100</v>
      </c>
      <c r="H1047" s="43">
        <v>600</v>
      </c>
      <c r="I1047" s="35">
        <v>695</v>
      </c>
      <c r="J1047" s="35">
        <v>50</v>
      </c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</row>
    <row r="1048" spans="1:20" ht="15.75">
      <c r="A1048" s="13">
        <v>73415</v>
      </c>
      <c r="B1048" s="44">
        <f t="shared" si="7"/>
        <v>31</v>
      </c>
      <c r="C1048" s="35">
        <v>122.58</v>
      </c>
      <c r="D1048" s="35">
        <v>297.94099999999997</v>
      </c>
      <c r="E1048" s="41">
        <v>729.47900000000004</v>
      </c>
      <c r="F1048" s="35">
        <v>1150</v>
      </c>
      <c r="G1048" s="35">
        <v>100</v>
      </c>
      <c r="H1048" s="43">
        <v>600</v>
      </c>
      <c r="I1048" s="35">
        <v>695</v>
      </c>
      <c r="J1048" s="35">
        <v>50</v>
      </c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</row>
    <row r="1049" spans="1:20" ht="15">
      <c r="A1049" s="10"/>
      <c r="B1049" s="42"/>
      <c r="C1049" s="35"/>
      <c r="D1049" s="35"/>
      <c r="E1049" s="41"/>
      <c r="F1049" s="35"/>
      <c r="G1049" s="35"/>
      <c r="H1049" s="35"/>
      <c r="I1049" s="35"/>
      <c r="J1049" s="35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</row>
    <row r="1050" spans="1:20" ht="15.75">
      <c r="A1050" s="3">
        <v>2015</v>
      </c>
      <c r="B1050" s="3">
        <f t="shared" ref="B1050:B1081" si="8">DATE(A1050+1,1,1)-DATE(A1050,1,1)</f>
        <v>365</v>
      </c>
      <c r="C1050" s="38">
        <f>AVERAGE(C17:C28)</f>
        <v>154.75825</v>
      </c>
      <c r="D1050" s="38">
        <f>AVERAGE(D17:D28)</f>
        <v>281.0162499999999</v>
      </c>
      <c r="E1050" s="38">
        <f>AVERAGE(E17:E28)</f>
        <v>822.39216666666641</v>
      </c>
      <c r="F1050" s="38">
        <f>AVERAGE(F17:F28)</f>
        <v>1258.1666666666667</v>
      </c>
      <c r="G1050" s="38">
        <f>AVERAGE(G17:G28)</f>
        <v>79.166666666666671</v>
      </c>
      <c r="H1050" s="40"/>
      <c r="I1050" s="38">
        <f>AVERAGE(I17:I28)</f>
        <v>695</v>
      </c>
      <c r="J1050" s="38">
        <f>AVERAGE(J17:J28)</f>
        <v>33.333333333333336</v>
      </c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</row>
    <row r="1051" spans="1:20" ht="15.75">
      <c r="A1051" s="3">
        <v>2016</v>
      </c>
      <c r="B1051" s="3">
        <f t="shared" si="8"/>
        <v>366</v>
      </c>
      <c r="C1051" s="38">
        <f>AVERAGE(C29:C40)</f>
        <v>154.75825</v>
      </c>
      <c r="D1051" s="38">
        <f>AVERAGE(D29:D40)</f>
        <v>281.0162499999999</v>
      </c>
      <c r="E1051" s="38">
        <f>AVERAGE(E29:E40)</f>
        <v>822.39216666666641</v>
      </c>
      <c r="F1051" s="38">
        <f>AVERAGE(F29:F40)</f>
        <v>1258.1666666666667</v>
      </c>
      <c r="G1051" s="38">
        <f>AVERAGE(G29:G40)</f>
        <v>79.166666666666671</v>
      </c>
      <c r="H1051" s="40"/>
      <c r="I1051" s="38">
        <f>AVERAGE(I29:I40)</f>
        <v>695</v>
      </c>
      <c r="J1051" s="38">
        <f>AVERAGE(J29:J40)</f>
        <v>33.333333333333336</v>
      </c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</row>
    <row r="1052" spans="1:20" ht="15">
      <c r="A1052" s="3">
        <v>2017</v>
      </c>
      <c r="B1052" s="3">
        <f t="shared" si="8"/>
        <v>365</v>
      </c>
      <c r="C1052" s="38">
        <f t="shared" ref="C1052:J1052" si="9">AVERAGE(C41:C52)</f>
        <v>154.75825</v>
      </c>
      <c r="D1052" s="38">
        <f t="shared" si="9"/>
        <v>281.0162499999999</v>
      </c>
      <c r="E1052" s="38">
        <f t="shared" si="9"/>
        <v>780.7254999999999</v>
      </c>
      <c r="F1052" s="38">
        <f t="shared" si="9"/>
        <v>1216.5</v>
      </c>
      <c r="G1052" s="38">
        <f t="shared" si="9"/>
        <v>79.166666666666671</v>
      </c>
      <c r="H1052" s="39">
        <f t="shared" si="9"/>
        <v>400</v>
      </c>
      <c r="I1052" s="38">
        <f t="shared" si="9"/>
        <v>695</v>
      </c>
      <c r="J1052" s="38">
        <f t="shared" si="9"/>
        <v>33.333333333333336</v>
      </c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</row>
    <row r="1053" spans="1:20" ht="15">
      <c r="A1053" s="3">
        <v>2018</v>
      </c>
      <c r="B1053" s="3">
        <f t="shared" si="8"/>
        <v>365</v>
      </c>
      <c r="C1053" s="38">
        <f t="shared" ref="C1053:J1053" si="10">AVERAGE(C53:C64)</f>
        <v>154.75825</v>
      </c>
      <c r="D1053" s="38">
        <f t="shared" si="10"/>
        <v>281.0162499999999</v>
      </c>
      <c r="E1053" s="38">
        <f t="shared" si="10"/>
        <v>780.7254999999999</v>
      </c>
      <c r="F1053" s="38">
        <f t="shared" si="10"/>
        <v>1216.5</v>
      </c>
      <c r="G1053" s="38">
        <f t="shared" si="10"/>
        <v>79.166666666666671</v>
      </c>
      <c r="H1053" s="39">
        <f t="shared" si="10"/>
        <v>400</v>
      </c>
      <c r="I1053" s="38">
        <f t="shared" si="10"/>
        <v>695</v>
      </c>
      <c r="J1053" s="38">
        <f t="shared" si="10"/>
        <v>33.333333333333336</v>
      </c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</row>
    <row r="1054" spans="1:20" ht="15">
      <c r="A1054" s="3">
        <v>2019</v>
      </c>
      <c r="B1054" s="3">
        <f t="shared" si="8"/>
        <v>365</v>
      </c>
      <c r="C1054" s="38">
        <f t="shared" ref="C1054:J1054" si="11">AVERAGE(C65:C76)</f>
        <v>154.75825</v>
      </c>
      <c r="D1054" s="38">
        <f t="shared" si="11"/>
        <v>281.0162499999999</v>
      </c>
      <c r="E1054" s="38">
        <f t="shared" si="11"/>
        <v>780.7254999999999</v>
      </c>
      <c r="F1054" s="38">
        <f t="shared" si="11"/>
        <v>1216.5</v>
      </c>
      <c r="G1054" s="38">
        <f t="shared" si="11"/>
        <v>79.166666666666671</v>
      </c>
      <c r="H1054" s="39">
        <f t="shared" si="11"/>
        <v>400</v>
      </c>
      <c r="I1054" s="38">
        <f t="shared" si="11"/>
        <v>695</v>
      </c>
      <c r="J1054" s="38">
        <f t="shared" si="11"/>
        <v>33.333333333333336</v>
      </c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</row>
    <row r="1055" spans="1:20" ht="15">
      <c r="A1055" s="3">
        <v>2020</v>
      </c>
      <c r="B1055" s="3">
        <f t="shared" si="8"/>
        <v>366</v>
      </c>
      <c r="C1055" s="38">
        <f t="shared" ref="C1055:J1055" si="12">AVERAGE(C77:C88)</f>
        <v>154.75825</v>
      </c>
      <c r="D1055" s="38">
        <f t="shared" si="12"/>
        <v>281.0162499999999</v>
      </c>
      <c r="E1055" s="38">
        <f t="shared" si="12"/>
        <v>780.7254999999999</v>
      </c>
      <c r="F1055" s="38">
        <f t="shared" si="12"/>
        <v>1216.5</v>
      </c>
      <c r="G1055" s="38">
        <f t="shared" si="12"/>
        <v>79.166666666666671</v>
      </c>
      <c r="H1055" s="39">
        <f t="shared" si="12"/>
        <v>533.33333333333337</v>
      </c>
      <c r="I1055" s="38">
        <f t="shared" si="12"/>
        <v>695</v>
      </c>
      <c r="J1055" s="38">
        <f t="shared" si="12"/>
        <v>33.333333333333336</v>
      </c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</row>
    <row r="1056" spans="1:20" ht="15">
      <c r="A1056" s="3">
        <v>2021</v>
      </c>
      <c r="B1056" s="3">
        <f t="shared" si="8"/>
        <v>365</v>
      </c>
      <c r="C1056" s="38">
        <f t="shared" ref="C1056:J1056" si="13">AVERAGE(C89:C100)</f>
        <v>154.75825</v>
      </c>
      <c r="D1056" s="38">
        <f t="shared" si="13"/>
        <v>281.0162499999999</v>
      </c>
      <c r="E1056" s="38">
        <f t="shared" si="13"/>
        <v>780.7254999999999</v>
      </c>
      <c r="F1056" s="38">
        <f t="shared" si="13"/>
        <v>1216.5</v>
      </c>
      <c r="G1056" s="38">
        <f t="shared" si="13"/>
        <v>79.166666666666671</v>
      </c>
      <c r="H1056" s="39">
        <f t="shared" si="13"/>
        <v>600</v>
      </c>
      <c r="I1056" s="38">
        <f t="shared" si="13"/>
        <v>695</v>
      </c>
      <c r="J1056" s="38">
        <f t="shared" si="13"/>
        <v>33.333333333333336</v>
      </c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</row>
    <row r="1057" spans="1:20" ht="15">
      <c r="A1057" s="3">
        <v>2022</v>
      </c>
      <c r="B1057" s="3">
        <f t="shared" si="8"/>
        <v>365</v>
      </c>
      <c r="C1057" s="38">
        <f t="shared" ref="C1057:J1057" si="14">AVERAGE(C101:C112)</f>
        <v>154.75825</v>
      </c>
      <c r="D1057" s="38">
        <f t="shared" si="14"/>
        <v>281.0162499999999</v>
      </c>
      <c r="E1057" s="38">
        <f t="shared" si="14"/>
        <v>780.7254999999999</v>
      </c>
      <c r="F1057" s="38">
        <f t="shared" si="14"/>
        <v>1216.5</v>
      </c>
      <c r="G1057" s="38">
        <f t="shared" si="14"/>
        <v>79.166666666666671</v>
      </c>
      <c r="H1057" s="39">
        <f t="shared" si="14"/>
        <v>600</v>
      </c>
      <c r="I1057" s="38">
        <f t="shared" si="14"/>
        <v>695</v>
      </c>
      <c r="J1057" s="38">
        <f t="shared" si="14"/>
        <v>33.333333333333336</v>
      </c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</row>
    <row r="1058" spans="1:20" ht="15">
      <c r="A1058" s="3">
        <v>2023</v>
      </c>
      <c r="B1058" s="3">
        <f t="shared" si="8"/>
        <v>365</v>
      </c>
      <c r="C1058" s="38">
        <f t="shared" ref="C1058:J1058" si="15">AVERAGE(C113:C124)</f>
        <v>154.75825</v>
      </c>
      <c r="D1058" s="38">
        <f t="shared" si="15"/>
        <v>281.0162499999999</v>
      </c>
      <c r="E1058" s="38">
        <f t="shared" si="15"/>
        <v>780.7254999999999</v>
      </c>
      <c r="F1058" s="38">
        <f t="shared" si="15"/>
        <v>1216.5</v>
      </c>
      <c r="G1058" s="38">
        <f t="shared" si="15"/>
        <v>79.166666666666671</v>
      </c>
      <c r="H1058" s="39">
        <f t="shared" si="15"/>
        <v>600</v>
      </c>
      <c r="I1058" s="38">
        <f t="shared" si="15"/>
        <v>695</v>
      </c>
      <c r="J1058" s="38">
        <f t="shared" si="15"/>
        <v>33.333333333333336</v>
      </c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</row>
    <row r="1059" spans="1:20" ht="15">
      <c r="A1059" s="3">
        <v>2024</v>
      </c>
      <c r="B1059" s="3">
        <f t="shared" si="8"/>
        <v>366</v>
      </c>
      <c r="C1059" s="38">
        <f t="shared" ref="C1059:J1059" si="16">AVERAGE(C125:C136)</f>
        <v>154.75825</v>
      </c>
      <c r="D1059" s="38">
        <f t="shared" si="16"/>
        <v>281.0162499999999</v>
      </c>
      <c r="E1059" s="38">
        <f t="shared" si="16"/>
        <v>780.7254999999999</v>
      </c>
      <c r="F1059" s="38">
        <f t="shared" si="16"/>
        <v>1216.5</v>
      </c>
      <c r="G1059" s="38">
        <f t="shared" si="16"/>
        <v>79.166666666666671</v>
      </c>
      <c r="H1059" s="39">
        <f t="shared" si="16"/>
        <v>600</v>
      </c>
      <c r="I1059" s="38">
        <f t="shared" si="16"/>
        <v>695</v>
      </c>
      <c r="J1059" s="38">
        <f t="shared" si="16"/>
        <v>33.333333333333336</v>
      </c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</row>
    <row r="1060" spans="1:20" ht="15">
      <c r="A1060" s="3">
        <v>2025</v>
      </c>
      <c r="B1060" s="3">
        <f t="shared" si="8"/>
        <v>365</v>
      </c>
      <c r="C1060" s="38">
        <f t="shared" ref="C1060:J1060" si="17">AVERAGE(C137:C148)</f>
        <v>154.75825</v>
      </c>
      <c r="D1060" s="38">
        <f t="shared" si="17"/>
        <v>281.0162499999999</v>
      </c>
      <c r="E1060" s="38">
        <f t="shared" si="17"/>
        <v>780.7254999999999</v>
      </c>
      <c r="F1060" s="38">
        <f t="shared" si="17"/>
        <v>1216.5</v>
      </c>
      <c r="G1060" s="38">
        <f t="shared" si="17"/>
        <v>79.166666666666671</v>
      </c>
      <c r="H1060" s="39">
        <f t="shared" si="17"/>
        <v>600</v>
      </c>
      <c r="I1060" s="38">
        <f t="shared" si="17"/>
        <v>695</v>
      </c>
      <c r="J1060" s="38">
        <f t="shared" si="17"/>
        <v>33.333333333333336</v>
      </c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</row>
    <row r="1061" spans="1:20" ht="15">
      <c r="A1061" s="3">
        <v>2026</v>
      </c>
      <c r="B1061" s="3">
        <f t="shared" si="8"/>
        <v>365</v>
      </c>
      <c r="C1061" s="38">
        <f t="shared" ref="C1061:J1061" si="18">AVERAGE(C149:C160)</f>
        <v>154.75825</v>
      </c>
      <c r="D1061" s="38">
        <f t="shared" si="18"/>
        <v>281.0162499999999</v>
      </c>
      <c r="E1061" s="38">
        <f t="shared" si="18"/>
        <v>780.7254999999999</v>
      </c>
      <c r="F1061" s="38">
        <f t="shared" si="18"/>
        <v>1216.5</v>
      </c>
      <c r="G1061" s="38">
        <f t="shared" si="18"/>
        <v>79.166666666666671</v>
      </c>
      <c r="H1061" s="39">
        <f t="shared" si="18"/>
        <v>600</v>
      </c>
      <c r="I1061" s="38">
        <f t="shared" si="18"/>
        <v>695</v>
      </c>
      <c r="J1061" s="38">
        <f t="shared" si="18"/>
        <v>33.333333333333336</v>
      </c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</row>
    <row r="1062" spans="1:20" ht="15">
      <c r="A1062" s="3">
        <v>2027</v>
      </c>
      <c r="B1062" s="3">
        <f t="shared" si="8"/>
        <v>365</v>
      </c>
      <c r="C1062" s="38">
        <f t="shared" ref="C1062:J1062" si="19">AVERAGE(C161:C172)</f>
        <v>154.75825</v>
      </c>
      <c r="D1062" s="38">
        <f t="shared" si="19"/>
        <v>281.0162499999999</v>
      </c>
      <c r="E1062" s="38">
        <f t="shared" si="19"/>
        <v>780.7254999999999</v>
      </c>
      <c r="F1062" s="38">
        <f t="shared" si="19"/>
        <v>1216.5</v>
      </c>
      <c r="G1062" s="38">
        <f t="shared" si="19"/>
        <v>79.166666666666671</v>
      </c>
      <c r="H1062" s="39">
        <f t="shared" si="19"/>
        <v>600</v>
      </c>
      <c r="I1062" s="38">
        <f t="shared" si="19"/>
        <v>695</v>
      </c>
      <c r="J1062" s="38">
        <f t="shared" si="19"/>
        <v>33.333333333333336</v>
      </c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</row>
    <row r="1063" spans="1:20" ht="15">
      <c r="A1063" s="3">
        <v>2028</v>
      </c>
      <c r="B1063" s="3">
        <f t="shared" si="8"/>
        <v>366</v>
      </c>
      <c r="C1063" s="38">
        <f t="shared" ref="C1063:J1063" si="20">AVERAGE(C173:C184)</f>
        <v>154.75825</v>
      </c>
      <c r="D1063" s="38">
        <f t="shared" si="20"/>
        <v>281.0162499999999</v>
      </c>
      <c r="E1063" s="38">
        <f t="shared" si="20"/>
        <v>780.7254999999999</v>
      </c>
      <c r="F1063" s="38">
        <f t="shared" si="20"/>
        <v>1216.5</v>
      </c>
      <c r="G1063" s="38">
        <f t="shared" si="20"/>
        <v>79.166666666666671</v>
      </c>
      <c r="H1063" s="39">
        <f t="shared" si="20"/>
        <v>600</v>
      </c>
      <c r="I1063" s="38">
        <f t="shared" si="20"/>
        <v>695</v>
      </c>
      <c r="J1063" s="38">
        <f t="shared" si="20"/>
        <v>33.333333333333336</v>
      </c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</row>
    <row r="1064" spans="1:20" ht="15">
      <c r="A1064" s="3">
        <v>2029</v>
      </c>
      <c r="B1064" s="3">
        <f t="shared" si="8"/>
        <v>365</v>
      </c>
      <c r="C1064" s="38">
        <f t="shared" ref="C1064:J1064" si="21">AVERAGE(C185:C196)</f>
        <v>154.75825</v>
      </c>
      <c r="D1064" s="38">
        <f t="shared" si="21"/>
        <v>281.0162499999999</v>
      </c>
      <c r="E1064" s="38">
        <f t="shared" si="21"/>
        <v>780.7254999999999</v>
      </c>
      <c r="F1064" s="38">
        <f t="shared" si="21"/>
        <v>1216.5</v>
      </c>
      <c r="G1064" s="38">
        <f t="shared" si="21"/>
        <v>79.166666666666671</v>
      </c>
      <c r="H1064" s="39">
        <f t="shared" si="21"/>
        <v>600</v>
      </c>
      <c r="I1064" s="38">
        <f t="shared" si="21"/>
        <v>695</v>
      </c>
      <c r="J1064" s="38">
        <f t="shared" si="21"/>
        <v>33.333333333333336</v>
      </c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</row>
    <row r="1065" spans="1:20" ht="15">
      <c r="A1065" s="3">
        <v>2030</v>
      </c>
      <c r="B1065" s="3">
        <f t="shared" si="8"/>
        <v>365</v>
      </c>
      <c r="C1065" s="38">
        <f t="shared" ref="C1065:J1065" si="22">AVERAGE(C197:C208)</f>
        <v>154.75825</v>
      </c>
      <c r="D1065" s="38">
        <f t="shared" si="22"/>
        <v>281.0162499999999</v>
      </c>
      <c r="E1065" s="38">
        <f t="shared" si="22"/>
        <v>780.7254999999999</v>
      </c>
      <c r="F1065" s="38">
        <f t="shared" si="22"/>
        <v>1216.5</v>
      </c>
      <c r="G1065" s="38">
        <f t="shared" si="22"/>
        <v>79.166666666666671</v>
      </c>
      <c r="H1065" s="39">
        <f t="shared" si="22"/>
        <v>600</v>
      </c>
      <c r="I1065" s="38">
        <f t="shared" si="22"/>
        <v>695</v>
      </c>
      <c r="J1065" s="38">
        <f t="shared" si="22"/>
        <v>33.333333333333336</v>
      </c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</row>
    <row r="1066" spans="1:20" ht="15">
      <c r="A1066" s="3">
        <v>2031</v>
      </c>
      <c r="B1066" s="3">
        <f t="shared" si="8"/>
        <v>365</v>
      </c>
      <c r="C1066" s="38">
        <f t="shared" ref="C1066:J1066" si="23">AVERAGE(C209:C220)</f>
        <v>154.75825</v>
      </c>
      <c r="D1066" s="38">
        <f t="shared" si="23"/>
        <v>281.0162499999999</v>
      </c>
      <c r="E1066" s="38">
        <f t="shared" si="23"/>
        <v>780.7254999999999</v>
      </c>
      <c r="F1066" s="38">
        <f t="shared" si="23"/>
        <v>1216.5</v>
      </c>
      <c r="G1066" s="38">
        <f t="shared" si="23"/>
        <v>79.166666666666671</v>
      </c>
      <c r="H1066" s="39">
        <f t="shared" si="23"/>
        <v>600</v>
      </c>
      <c r="I1066" s="38">
        <f t="shared" si="23"/>
        <v>695</v>
      </c>
      <c r="J1066" s="38">
        <f t="shared" si="23"/>
        <v>33.333333333333336</v>
      </c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</row>
    <row r="1067" spans="1:20" ht="15">
      <c r="A1067" s="3">
        <v>2032</v>
      </c>
      <c r="B1067" s="3">
        <f t="shared" si="8"/>
        <v>366</v>
      </c>
      <c r="C1067" s="38">
        <f t="shared" ref="C1067:J1067" si="24">AVERAGE(C221:C232)</f>
        <v>154.75825</v>
      </c>
      <c r="D1067" s="38">
        <f t="shared" si="24"/>
        <v>281.0162499999999</v>
      </c>
      <c r="E1067" s="38">
        <f t="shared" si="24"/>
        <v>780.7254999999999</v>
      </c>
      <c r="F1067" s="38">
        <f t="shared" si="24"/>
        <v>1216.5</v>
      </c>
      <c r="G1067" s="38">
        <f t="shared" si="24"/>
        <v>79.166666666666671</v>
      </c>
      <c r="H1067" s="39">
        <f t="shared" si="24"/>
        <v>600</v>
      </c>
      <c r="I1067" s="38">
        <f t="shared" si="24"/>
        <v>695</v>
      </c>
      <c r="J1067" s="38">
        <f t="shared" si="24"/>
        <v>33.333333333333336</v>
      </c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</row>
    <row r="1068" spans="1:20" ht="15">
      <c r="A1068" s="3">
        <v>2033</v>
      </c>
      <c r="B1068" s="3">
        <f t="shared" si="8"/>
        <v>365</v>
      </c>
      <c r="C1068" s="38">
        <f t="shared" ref="C1068:J1068" si="25">AVERAGE(C233:C244)</f>
        <v>154.75825</v>
      </c>
      <c r="D1068" s="38">
        <f t="shared" si="25"/>
        <v>281.0162499999999</v>
      </c>
      <c r="E1068" s="38">
        <f t="shared" si="25"/>
        <v>780.7254999999999</v>
      </c>
      <c r="F1068" s="38">
        <f t="shared" si="25"/>
        <v>1216.5</v>
      </c>
      <c r="G1068" s="38">
        <f t="shared" si="25"/>
        <v>79.166666666666671</v>
      </c>
      <c r="H1068" s="39">
        <f t="shared" si="25"/>
        <v>600</v>
      </c>
      <c r="I1068" s="38">
        <f t="shared" si="25"/>
        <v>695</v>
      </c>
      <c r="J1068" s="38">
        <f t="shared" si="25"/>
        <v>33.333333333333336</v>
      </c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</row>
    <row r="1069" spans="1:20" ht="15">
      <c r="A1069" s="3">
        <v>2034</v>
      </c>
      <c r="B1069" s="3">
        <f t="shared" si="8"/>
        <v>365</v>
      </c>
      <c r="C1069" s="38">
        <f t="shared" ref="C1069:J1069" si="26">AVERAGE(C245:C256)</f>
        <v>154.75825</v>
      </c>
      <c r="D1069" s="38">
        <f t="shared" si="26"/>
        <v>281.0162499999999</v>
      </c>
      <c r="E1069" s="38">
        <f t="shared" si="26"/>
        <v>780.7254999999999</v>
      </c>
      <c r="F1069" s="38">
        <f t="shared" si="26"/>
        <v>1216.5</v>
      </c>
      <c r="G1069" s="38">
        <f t="shared" si="26"/>
        <v>79.166666666666671</v>
      </c>
      <c r="H1069" s="39">
        <f t="shared" si="26"/>
        <v>600</v>
      </c>
      <c r="I1069" s="38">
        <f t="shared" si="26"/>
        <v>695</v>
      </c>
      <c r="J1069" s="38">
        <f t="shared" si="26"/>
        <v>33.333333333333336</v>
      </c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</row>
    <row r="1070" spans="1:20" ht="15">
      <c r="A1070" s="3">
        <v>2035</v>
      </c>
      <c r="B1070" s="3">
        <f t="shared" si="8"/>
        <v>365</v>
      </c>
      <c r="C1070" s="38">
        <f t="shared" ref="C1070:J1070" si="27">AVERAGE(C257:C268)</f>
        <v>154.75825</v>
      </c>
      <c r="D1070" s="38">
        <f t="shared" si="27"/>
        <v>281.0162499999999</v>
      </c>
      <c r="E1070" s="38">
        <f t="shared" si="27"/>
        <v>780.7254999999999</v>
      </c>
      <c r="F1070" s="38">
        <f t="shared" si="27"/>
        <v>1216.5</v>
      </c>
      <c r="G1070" s="38">
        <f t="shared" si="27"/>
        <v>79.166666666666671</v>
      </c>
      <c r="H1070" s="39">
        <f t="shared" si="27"/>
        <v>600</v>
      </c>
      <c r="I1070" s="38">
        <f t="shared" si="27"/>
        <v>695</v>
      </c>
      <c r="J1070" s="38">
        <f t="shared" si="27"/>
        <v>33.333333333333336</v>
      </c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</row>
    <row r="1071" spans="1:20" ht="15">
      <c r="A1071" s="3">
        <v>2036</v>
      </c>
      <c r="B1071" s="3">
        <f t="shared" si="8"/>
        <v>366</v>
      </c>
      <c r="C1071" s="38">
        <f t="shared" ref="C1071:J1071" si="28">AVERAGE(C269:C280)</f>
        <v>154.75825</v>
      </c>
      <c r="D1071" s="38">
        <f t="shared" si="28"/>
        <v>281.0162499999999</v>
      </c>
      <c r="E1071" s="38">
        <f t="shared" si="28"/>
        <v>780.7254999999999</v>
      </c>
      <c r="F1071" s="38">
        <f t="shared" si="28"/>
        <v>1216.5</v>
      </c>
      <c r="G1071" s="38">
        <f t="shared" si="28"/>
        <v>79.166666666666671</v>
      </c>
      <c r="H1071" s="39">
        <f t="shared" si="28"/>
        <v>600</v>
      </c>
      <c r="I1071" s="38">
        <f t="shared" si="28"/>
        <v>695</v>
      </c>
      <c r="J1071" s="38">
        <f t="shared" si="28"/>
        <v>33.333333333333336</v>
      </c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</row>
    <row r="1072" spans="1:20" ht="15">
      <c r="A1072" s="3">
        <v>2037</v>
      </c>
      <c r="B1072" s="3">
        <f t="shared" si="8"/>
        <v>365</v>
      </c>
      <c r="C1072" s="38">
        <f t="shared" ref="C1072:J1072" si="29">AVERAGE(C281:C292)</f>
        <v>154.75825</v>
      </c>
      <c r="D1072" s="38">
        <f t="shared" si="29"/>
        <v>281.0162499999999</v>
      </c>
      <c r="E1072" s="38">
        <f t="shared" si="29"/>
        <v>780.7254999999999</v>
      </c>
      <c r="F1072" s="38">
        <f t="shared" si="29"/>
        <v>1216.5</v>
      </c>
      <c r="G1072" s="38">
        <f t="shared" si="29"/>
        <v>79.166666666666671</v>
      </c>
      <c r="H1072" s="39">
        <f t="shared" si="29"/>
        <v>600</v>
      </c>
      <c r="I1072" s="38">
        <f t="shared" si="29"/>
        <v>695</v>
      </c>
      <c r="J1072" s="38">
        <f t="shared" si="29"/>
        <v>33.333333333333336</v>
      </c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</row>
    <row r="1073" spans="1:20" ht="15">
      <c r="A1073" s="3">
        <f t="shared" ref="A1073:A1104" si="30">A1072+1</f>
        <v>2038</v>
      </c>
      <c r="B1073" s="3">
        <f t="shared" si="8"/>
        <v>365</v>
      </c>
      <c r="C1073" s="35">
        <f t="shared" ref="C1073:J1073" si="31">AVERAGE(C293:C304)</f>
        <v>154.75825</v>
      </c>
      <c r="D1073" s="35">
        <f t="shared" si="31"/>
        <v>281.0162499999999</v>
      </c>
      <c r="E1073" s="35">
        <f t="shared" si="31"/>
        <v>780.7254999999999</v>
      </c>
      <c r="F1073" s="35">
        <f t="shared" si="31"/>
        <v>1216.5</v>
      </c>
      <c r="G1073" s="35">
        <f t="shared" si="31"/>
        <v>79.166666666666671</v>
      </c>
      <c r="H1073" s="37">
        <f t="shared" si="31"/>
        <v>600</v>
      </c>
      <c r="I1073" s="35">
        <f t="shared" si="31"/>
        <v>695</v>
      </c>
      <c r="J1073" s="35">
        <f t="shared" si="31"/>
        <v>33.333333333333336</v>
      </c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</row>
    <row r="1074" spans="1:20" ht="15">
      <c r="A1074" s="3">
        <f t="shared" si="30"/>
        <v>2039</v>
      </c>
      <c r="B1074" s="3">
        <f t="shared" si="8"/>
        <v>365</v>
      </c>
      <c r="C1074" s="35">
        <f t="shared" ref="C1074:J1074" si="32">AVERAGE(C305:C316)</f>
        <v>154.75825</v>
      </c>
      <c r="D1074" s="35">
        <f t="shared" si="32"/>
        <v>281.0162499999999</v>
      </c>
      <c r="E1074" s="35">
        <f t="shared" si="32"/>
        <v>780.7254999999999</v>
      </c>
      <c r="F1074" s="35">
        <f t="shared" si="32"/>
        <v>1216.5</v>
      </c>
      <c r="G1074" s="35">
        <f t="shared" si="32"/>
        <v>79.166666666666671</v>
      </c>
      <c r="H1074" s="37">
        <f t="shared" si="32"/>
        <v>600</v>
      </c>
      <c r="I1074" s="35">
        <f t="shared" si="32"/>
        <v>695</v>
      </c>
      <c r="J1074" s="35">
        <f t="shared" si="32"/>
        <v>33.333333333333336</v>
      </c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</row>
    <row r="1075" spans="1:20" ht="15">
      <c r="A1075" s="3">
        <f t="shared" si="30"/>
        <v>2040</v>
      </c>
      <c r="B1075" s="3">
        <f t="shared" si="8"/>
        <v>366</v>
      </c>
      <c r="C1075" s="35">
        <f t="shared" ref="C1075:J1075" si="33">AVERAGE(C317:C328)</f>
        <v>154.75825</v>
      </c>
      <c r="D1075" s="35">
        <f t="shared" si="33"/>
        <v>281.0162499999999</v>
      </c>
      <c r="E1075" s="35">
        <f t="shared" si="33"/>
        <v>780.7254999999999</v>
      </c>
      <c r="F1075" s="35">
        <f t="shared" si="33"/>
        <v>1216.5</v>
      </c>
      <c r="G1075" s="35">
        <f t="shared" si="33"/>
        <v>79.166666666666671</v>
      </c>
      <c r="H1075" s="37">
        <f t="shared" si="33"/>
        <v>600</v>
      </c>
      <c r="I1075" s="35">
        <f t="shared" si="33"/>
        <v>695</v>
      </c>
      <c r="J1075" s="35">
        <f t="shared" si="33"/>
        <v>33.333333333333336</v>
      </c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</row>
    <row r="1076" spans="1:20" ht="15">
      <c r="A1076" s="3">
        <f t="shared" si="30"/>
        <v>2041</v>
      </c>
      <c r="B1076" s="3">
        <f t="shared" si="8"/>
        <v>365</v>
      </c>
      <c r="C1076" s="35">
        <f t="shared" ref="C1076:J1076" si="34">AVERAGE(C329:C340)</f>
        <v>154.75825</v>
      </c>
      <c r="D1076" s="35">
        <f t="shared" si="34"/>
        <v>281.0162499999999</v>
      </c>
      <c r="E1076" s="35">
        <f t="shared" si="34"/>
        <v>780.7254999999999</v>
      </c>
      <c r="F1076" s="35">
        <f t="shared" si="34"/>
        <v>1216.5</v>
      </c>
      <c r="G1076" s="35">
        <f t="shared" si="34"/>
        <v>79.166666666666671</v>
      </c>
      <c r="H1076" s="37">
        <f t="shared" si="34"/>
        <v>600</v>
      </c>
      <c r="I1076" s="35">
        <f t="shared" si="34"/>
        <v>695</v>
      </c>
      <c r="J1076" s="35">
        <f t="shared" si="34"/>
        <v>33.333333333333336</v>
      </c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</row>
    <row r="1077" spans="1:20" ht="15">
      <c r="A1077" s="3">
        <f t="shared" si="30"/>
        <v>2042</v>
      </c>
      <c r="B1077" s="3">
        <f t="shared" si="8"/>
        <v>365</v>
      </c>
      <c r="C1077" s="35">
        <f t="shared" ref="C1077:J1077" si="35">AVERAGE(C341:C352)</f>
        <v>154.75825</v>
      </c>
      <c r="D1077" s="35">
        <f t="shared" si="35"/>
        <v>281.0162499999999</v>
      </c>
      <c r="E1077" s="35">
        <f t="shared" si="35"/>
        <v>780.7254999999999</v>
      </c>
      <c r="F1077" s="35">
        <f t="shared" si="35"/>
        <v>1216.5</v>
      </c>
      <c r="G1077" s="35">
        <f t="shared" si="35"/>
        <v>79.166666666666671</v>
      </c>
      <c r="H1077" s="37">
        <f t="shared" si="35"/>
        <v>600</v>
      </c>
      <c r="I1077" s="35">
        <f t="shared" si="35"/>
        <v>695</v>
      </c>
      <c r="J1077" s="35">
        <f t="shared" si="35"/>
        <v>33.333333333333336</v>
      </c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</row>
    <row r="1078" spans="1:20" ht="15">
      <c r="A1078" s="3">
        <f t="shared" si="30"/>
        <v>2043</v>
      </c>
      <c r="B1078" s="3">
        <f t="shared" si="8"/>
        <v>365</v>
      </c>
      <c r="C1078" s="35">
        <f t="shared" ref="C1078:J1078" si="36">AVERAGE(C353:C364)</f>
        <v>154.75825</v>
      </c>
      <c r="D1078" s="35">
        <f t="shared" si="36"/>
        <v>281.0162499999999</v>
      </c>
      <c r="E1078" s="35">
        <f t="shared" si="36"/>
        <v>780.7254999999999</v>
      </c>
      <c r="F1078" s="35">
        <f t="shared" si="36"/>
        <v>1216.5</v>
      </c>
      <c r="G1078" s="35">
        <f t="shared" si="36"/>
        <v>79.166666666666671</v>
      </c>
      <c r="H1078" s="37">
        <f t="shared" si="36"/>
        <v>600</v>
      </c>
      <c r="I1078" s="35">
        <f t="shared" si="36"/>
        <v>695</v>
      </c>
      <c r="J1078" s="35">
        <f t="shared" si="36"/>
        <v>33.333333333333336</v>
      </c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</row>
    <row r="1079" spans="1:20" ht="15">
      <c r="A1079" s="3">
        <f t="shared" si="30"/>
        <v>2044</v>
      </c>
      <c r="B1079" s="3">
        <f t="shared" si="8"/>
        <v>366</v>
      </c>
      <c r="C1079" s="35">
        <f t="shared" ref="C1079:J1079" si="37">AVERAGE(C365:C376)</f>
        <v>154.75825</v>
      </c>
      <c r="D1079" s="35">
        <f t="shared" si="37"/>
        <v>281.0162499999999</v>
      </c>
      <c r="E1079" s="35">
        <f t="shared" si="37"/>
        <v>780.7254999999999</v>
      </c>
      <c r="F1079" s="35">
        <f t="shared" si="37"/>
        <v>1216.5</v>
      </c>
      <c r="G1079" s="35">
        <f t="shared" si="37"/>
        <v>79.166666666666671</v>
      </c>
      <c r="H1079" s="37">
        <f t="shared" si="37"/>
        <v>600</v>
      </c>
      <c r="I1079" s="35">
        <f t="shared" si="37"/>
        <v>695</v>
      </c>
      <c r="J1079" s="35">
        <f t="shared" si="37"/>
        <v>33.333333333333336</v>
      </c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</row>
    <row r="1080" spans="1:20" ht="15">
      <c r="A1080" s="3">
        <f t="shared" si="30"/>
        <v>2045</v>
      </c>
      <c r="B1080" s="3">
        <f t="shared" si="8"/>
        <v>365</v>
      </c>
      <c r="C1080" s="35">
        <f t="shared" ref="C1080:J1080" si="38">AVERAGE(C377:C388)</f>
        <v>154.75825</v>
      </c>
      <c r="D1080" s="35">
        <f t="shared" si="38"/>
        <v>281.0162499999999</v>
      </c>
      <c r="E1080" s="35">
        <f t="shared" si="38"/>
        <v>780.7254999999999</v>
      </c>
      <c r="F1080" s="35">
        <f t="shared" si="38"/>
        <v>1216.5</v>
      </c>
      <c r="G1080" s="35">
        <f t="shared" si="38"/>
        <v>79.166666666666671</v>
      </c>
      <c r="H1080" s="37">
        <f t="shared" si="38"/>
        <v>600</v>
      </c>
      <c r="I1080" s="35">
        <f t="shared" si="38"/>
        <v>695</v>
      </c>
      <c r="J1080" s="35">
        <f t="shared" si="38"/>
        <v>33.333333333333336</v>
      </c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</row>
    <row r="1081" spans="1:20" ht="15">
      <c r="A1081" s="3">
        <f t="shared" si="30"/>
        <v>2046</v>
      </c>
      <c r="B1081" s="3">
        <f t="shared" si="8"/>
        <v>365</v>
      </c>
      <c r="C1081" s="35">
        <f t="shared" ref="C1081:J1081" si="39">AVERAGE(C389:C400)</f>
        <v>154.75825</v>
      </c>
      <c r="D1081" s="35">
        <f t="shared" si="39"/>
        <v>281.0162499999999</v>
      </c>
      <c r="E1081" s="35">
        <f t="shared" si="39"/>
        <v>780.7254999999999</v>
      </c>
      <c r="F1081" s="35">
        <f t="shared" si="39"/>
        <v>1216.5</v>
      </c>
      <c r="G1081" s="35">
        <f t="shared" si="39"/>
        <v>79.166666666666671</v>
      </c>
      <c r="H1081" s="37">
        <f t="shared" si="39"/>
        <v>600</v>
      </c>
      <c r="I1081" s="35">
        <f t="shared" si="39"/>
        <v>695</v>
      </c>
      <c r="J1081" s="35">
        <f t="shared" si="39"/>
        <v>33.333333333333336</v>
      </c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</row>
    <row r="1082" spans="1:20" ht="15">
      <c r="A1082" s="3">
        <f t="shared" si="30"/>
        <v>2047</v>
      </c>
      <c r="B1082" s="3">
        <f t="shared" ref="B1082:B1113" si="40">DATE(A1082+1,1,1)-DATE(A1082,1,1)</f>
        <v>365</v>
      </c>
      <c r="C1082" s="35">
        <f t="shared" ref="C1082:J1082" si="41">AVERAGE(C401:C412)</f>
        <v>154.75825</v>
      </c>
      <c r="D1082" s="35">
        <f t="shared" si="41"/>
        <v>281.0162499999999</v>
      </c>
      <c r="E1082" s="35">
        <f t="shared" si="41"/>
        <v>780.7254999999999</v>
      </c>
      <c r="F1082" s="35">
        <f t="shared" si="41"/>
        <v>1216.5</v>
      </c>
      <c r="G1082" s="35">
        <f t="shared" si="41"/>
        <v>79.166666666666671</v>
      </c>
      <c r="H1082" s="37">
        <f t="shared" si="41"/>
        <v>600</v>
      </c>
      <c r="I1082" s="35">
        <f t="shared" si="41"/>
        <v>695</v>
      </c>
      <c r="J1082" s="35">
        <f t="shared" si="41"/>
        <v>33.333333333333336</v>
      </c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</row>
    <row r="1083" spans="1:20" ht="15">
      <c r="A1083" s="3">
        <f t="shared" si="30"/>
        <v>2048</v>
      </c>
      <c r="B1083" s="3">
        <f t="shared" si="40"/>
        <v>366</v>
      </c>
      <c r="C1083" s="35">
        <f t="shared" ref="C1083:J1083" si="42">AVERAGE(C413:C424)</f>
        <v>154.75825</v>
      </c>
      <c r="D1083" s="35">
        <f t="shared" si="42"/>
        <v>281.0162499999999</v>
      </c>
      <c r="E1083" s="35">
        <f t="shared" si="42"/>
        <v>780.7254999999999</v>
      </c>
      <c r="F1083" s="35">
        <f t="shared" si="42"/>
        <v>1216.5</v>
      </c>
      <c r="G1083" s="35">
        <f t="shared" si="42"/>
        <v>79.166666666666671</v>
      </c>
      <c r="H1083" s="37">
        <f t="shared" si="42"/>
        <v>600</v>
      </c>
      <c r="I1083" s="35">
        <f t="shared" si="42"/>
        <v>695</v>
      </c>
      <c r="J1083" s="35">
        <f t="shared" si="42"/>
        <v>33.333333333333336</v>
      </c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</row>
    <row r="1084" spans="1:20" ht="15">
      <c r="A1084" s="3">
        <f t="shared" si="30"/>
        <v>2049</v>
      </c>
      <c r="B1084" s="3">
        <f t="shared" si="40"/>
        <v>365</v>
      </c>
      <c r="C1084" s="35">
        <f t="shared" ref="C1084:J1084" si="43">AVERAGE(C425:C436)</f>
        <v>154.75825</v>
      </c>
      <c r="D1084" s="35">
        <f t="shared" si="43"/>
        <v>281.0162499999999</v>
      </c>
      <c r="E1084" s="35">
        <f t="shared" si="43"/>
        <v>780.7254999999999</v>
      </c>
      <c r="F1084" s="35">
        <f t="shared" si="43"/>
        <v>1216.5</v>
      </c>
      <c r="G1084" s="35">
        <f t="shared" si="43"/>
        <v>79.166666666666671</v>
      </c>
      <c r="H1084" s="37">
        <f t="shared" si="43"/>
        <v>600</v>
      </c>
      <c r="I1084" s="35">
        <f t="shared" si="43"/>
        <v>695</v>
      </c>
      <c r="J1084" s="35">
        <f t="shared" si="43"/>
        <v>33.333333333333336</v>
      </c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</row>
    <row r="1085" spans="1:20" ht="15">
      <c r="A1085" s="3">
        <f t="shared" si="30"/>
        <v>2050</v>
      </c>
      <c r="B1085" s="3">
        <f t="shared" si="40"/>
        <v>365</v>
      </c>
      <c r="C1085" s="35">
        <f t="shared" ref="C1085:J1085" si="44">AVERAGE(C437:C448)</f>
        <v>154.75825</v>
      </c>
      <c r="D1085" s="35">
        <f t="shared" si="44"/>
        <v>281.0162499999999</v>
      </c>
      <c r="E1085" s="35">
        <f t="shared" si="44"/>
        <v>780.7254999999999</v>
      </c>
      <c r="F1085" s="35">
        <f t="shared" si="44"/>
        <v>1216.5</v>
      </c>
      <c r="G1085" s="35">
        <f t="shared" si="44"/>
        <v>79.166666666666671</v>
      </c>
      <c r="H1085" s="37">
        <f t="shared" si="44"/>
        <v>600</v>
      </c>
      <c r="I1085" s="35">
        <f t="shared" si="44"/>
        <v>695</v>
      </c>
      <c r="J1085" s="35">
        <f t="shared" si="44"/>
        <v>33.333333333333336</v>
      </c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</row>
    <row r="1086" spans="1:20" ht="15">
      <c r="A1086" s="3">
        <f t="shared" si="30"/>
        <v>2051</v>
      </c>
      <c r="B1086" s="3">
        <f t="shared" si="40"/>
        <v>365</v>
      </c>
      <c r="C1086" s="35">
        <f t="shared" ref="C1086:J1086" si="45">AVERAGE(C449:C460)</f>
        <v>154.75825</v>
      </c>
      <c r="D1086" s="35">
        <f t="shared" si="45"/>
        <v>281.0162499999999</v>
      </c>
      <c r="E1086" s="35">
        <f t="shared" si="45"/>
        <v>780.7254999999999</v>
      </c>
      <c r="F1086" s="35">
        <f t="shared" si="45"/>
        <v>1216.5</v>
      </c>
      <c r="G1086" s="35">
        <f t="shared" si="45"/>
        <v>79.166666666666671</v>
      </c>
      <c r="H1086" s="37">
        <f t="shared" si="45"/>
        <v>600</v>
      </c>
      <c r="I1086" s="35">
        <f t="shared" si="45"/>
        <v>695</v>
      </c>
      <c r="J1086" s="35">
        <f t="shared" si="45"/>
        <v>33.333333333333336</v>
      </c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</row>
    <row r="1087" spans="1:20" ht="15">
      <c r="A1087" s="3">
        <f t="shared" si="30"/>
        <v>2052</v>
      </c>
      <c r="B1087" s="3">
        <f t="shared" si="40"/>
        <v>366</v>
      </c>
      <c r="C1087" s="35">
        <f t="shared" ref="C1087:J1087" si="46">AVERAGE(C461:C472)</f>
        <v>154.75825</v>
      </c>
      <c r="D1087" s="35">
        <f t="shared" si="46"/>
        <v>281.0162499999999</v>
      </c>
      <c r="E1087" s="35">
        <f t="shared" si="46"/>
        <v>780.7254999999999</v>
      </c>
      <c r="F1087" s="35">
        <f t="shared" si="46"/>
        <v>1216.5</v>
      </c>
      <c r="G1087" s="35">
        <f t="shared" si="46"/>
        <v>79.166666666666671</v>
      </c>
      <c r="H1087" s="37">
        <f t="shared" si="46"/>
        <v>600</v>
      </c>
      <c r="I1087" s="35">
        <f t="shared" si="46"/>
        <v>695</v>
      </c>
      <c r="J1087" s="35">
        <f t="shared" si="46"/>
        <v>33.333333333333336</v>
      </c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</row>
    <row r="1088" spans="1:20" ht="15">
      <c r="A1088" s="3">
        <f t="shared" si="30"/>
        <v>2053</v>
      </c>
      <c r="B1088" s="3">
        <f t="shared" si="40"/>
        <v>365</v>
      </c>
      <c r="C1088" s="35">
        <f t="shared" ref="C1088:J1088" si="47">AVERAGE(C473:C484)</f>
        <v>154.75825</v>
      </c>
      <c r="D1088" s="35">
        <f t="shared" si="47"/>
        <v>281.0162499999999</v>
      </c>
      <c r="E1088" s="35">
        <f t="shared" si="47"/>
        <v>780.7254999999999</v>
      </c>
      <c r="F1088" s="35">
        <f t="shared" si="47"/>
        <v>1216.5</v>
      </c>
      <c r="G1088" s="35">
        <f t="shared" si="47"/>
        <v>79.166666666666671</v>
      </c>
      <c r="H1088" s="37">
        <f t="shared" si="47"/>
        <v>600</v>
      </c>
      <c r="I1088" s="35">
        <f t="shared" si="47"/>
        <v>695</v>
      </c>
      <c r="J1088" s="35">
        <f t="shared" si="47"/>
        <v>33.333333333333336</v>
      </c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</row>
    <row r="1089" spans="1:20" ht="15">
      <c r="A1089" s="3">
        <f t="shared" si="30"/>
        <v>2054</v>
      </c>
      <c r="B1089" s="3">
        <f t="shared" si="40"/>
        <v>365</v>
      </c>
      <c r="C1089" s="35">
        <f t="shared" ref="C1089:J1096" si="48">AVERAGE(C485:C496)</f>
        <v>154.75825</v>
      </c>
      <c r="D1089" s="35">
        <f t="shared" si="48"/>
        <v>281.0162499999999</v>
      </c>
      <c r="E1089" s="35">
        <f t="shared" si="48"/>
        <v>780.7254999999999</v>
      </c>
      <c r="F1089" s="35">
        <f t="shared" si="48"/>
        <v>1216.5</v>
      </c>
      <c r="G1089" s="35">
        <f t="shared" si="48"/>
        <v>79.166666666666671</v>
      </c>
      <c r="H1089" s="37">
        <f t="shared" si="48"/>
        <v>600</v>
      </c>
      <c r="I1089" s="35">
        <f t="shared" si="48"/>
        <v>695</v>
      </c>
      <c r="J1089" s="35">
        <f t="shared" si="48"/>
        <v>33.333333333333336</v>
      </c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</row>
    <row r="1090" spans="1:20" ht="15">
      <c r="A1090" s="3">
        <f t="shared" si="30"/>
        <v>2055</v>
      </c>
      <c r="B1090" s="3">
        <f t="shared" si="40"/>
        <v>365</v>
      </c>
      <c r="C1090" s="35">
        <f t="shared" si="48"/>
        <v>154.75825</v>
      </c>
      <c r="D1090" s="35">
        <f t="shared" si="48"/>
        <v>281.0162499999999</v>
      </c>
      <c r="E1090" s="35">
        <f t="shared" si="48"/>
        <v>780.7254999999999</v>
      </c>
      <c r="F1090" s="35">
        <f t="shared" si="48"/>
        <v>1216.5</v>
      </c>
      <c r="G1090" s="35">
        <f t="shared" si="48"/>
        <v>79.166666666666671</v>
      </c>
      <c r="H1090" s="37">
        <f t="shared" si="48"/>
        <v>600</v>
      </c>
      <c r="I1090" s="35">
        <f t="shared" si="48"/>
        <v>695</v>
      </c>
      <c r="J1090" s="35">
        <f t="shared" si="48"/>
        <v>33.333333333333336</v>
      </c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</row>
    <row r="1091" spans="1:20" ht="15">
      <c r="A1091" s="3">
        <f t="shared" si="30"/>
        <v>2056</v>
      </c>
      <c r="B1091" s="3">
        <f t="shared" si="40"/>
        <v>366</v>
      </c>
      <c r="C1091" s="35">
        <f t="shared" si="48"/>
        <v>154.75824999999998</v>
      </c>
      <c r="D1091" s="35">
        <f t="shared" si="48"/>
        <v>281.0162499999999</v>
      </c>
      <c r="E1091" s="35">
        <f t="shared" si="48"/>
        <v>780.7254999999999</v>
      </c>
      <c r="F1091" s="35">
        <f t="shared" si="48"/>
        <v>1216.5</v>
      </c>
      <c r="G1091" s="35">
        <f t="shared" si="48"/>
        <v>79.166666666666671</v>
      </c>
      <c r="H1091" s="37">
        <f t="shared" si="48"/>
        <v>600</v>
      </c>
      <c r="I1091" s="35">
        <f t="shared" si="48"/>
        <v>695</v>
      </c>
      <c r="J1091" s="35">
        <f t="shared" si="48"/>
        <v>33.333333333333336</v>
      </c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</row>
    <row r="1092" spans="1:20" ht="15">
      <c r="A1092" s="3">
        <f t="shared" si="30"/>
        <v>2057</v>
      </c>
      <c r="B1092" s="3">
        <f t="shared" si="40"/>
        <v>365</v>
      </c>
      <c r="C1092" s="35">
        <f t="shared" si="48"/>
        <v>154.75825</v>
      </c>
      <c r="D1092" s="35">
        <f t="shared" si="48"/>
        <v>281.0162499999999</v>
      </c>
      <c r="E1092" s="35">
        <f t="shared" si="48"/>
        <v>780.72550000000001</v>
      </c>
      <c r="F1092" s="35">
        <f t="shared" si="48"/>
        <v>1216.5</v>
      </c>
      <c r="G1092" s="35">
        <f t="shared" si="48"/>
        <v>79.166666666666671</v>
      </c>
      <c r="H1092" s="37">
        <f t="shared" si="48"/>
        <v>600</v>
      </c>
      <c r="I1092" s="35">
        <f t="shared" si="48"/>
        <v>695</v>
      </c>
      <c r="J1092" s="35">
        <f t="shared" si="48"/>
        <v>33.333333333333336</v>
      </c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</row>
    <row r="1093" spans="1:20" ht="15">
      <c r="A1093" s="3">
        <f t="shared" si="30"/>
        <v>2058</v>
      </c>
      <c r="B1093" s="3">
        <f t="shared" si="40"/>
        <v>365</v>
      </c>
      <c r="C1093" s="35">
        <f t="shared" si="48"/>
        <v>154.75824999999998</v>
      </c>
      <c r="D1093" s="35">
        <f t="shared" si="48"/>
        <v>281.01624999999996</v>
      </c>
      <c r="E1093" s="35">
        <f t="shared" si="48"/>
        <v>780.72550000000001</v>
      </c>
      <c r="F1093" s="35">
        <f t="shared" si="48"/>
        <v>1216.5</v>
      </c>
      <c r="G1093" s="35">
        <f t="shared" si="48"/>
        <v>79.166666666666671</v>
      </c>
      <c r="H1093" s="37">
        <f t="shared" si="48"/>
        <v>600</v>
      </c>
      <c r="I1093" s="35">
        <f t="shared" si="48"/>
        <v>695</v>
      </c>
      <c r="J1093" s="35">
        <f t="shared" si="48"/>
        <v>33.333333333333336</v>
      </c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</row>
    <row r="1094" spans="1:20" ht="15">
      <c r="A1094" s="3">
        <f t="shared" si="30"/>
        <v>2059</v>
      </c>
      <c r="B1094" s="3">
        <f t="shared" si="40"/>
        <v>365</v>
      </c>
      <c r="C1094" s="35">
        <f t="shared" si="48"/>
        <v>154.75824999999998</v>
      </c>
      <c r="D1094" s="35">
        <f t="shared" si="48"/>
        <v>281.01624999999996</v>
      </c>
      <c r="E1094" s="35">
        <f t="shared" si="48"/>
        <v>780.72550000000012</v>
      </c>
      <c r="F1094" s="35">
        <f t="shared" si="48"/>
        <v>1216.5</v>
      </c>
      <c r="G1094" s="35">
        <f t="shared" si="48"/>
        <v>79.166666666666671</v>
      </c>
      <c r="H1094" s="37">
        <f t="shared" si="48"/>
        <v>600</v>
      </c>
      <c r="I1094" s="35">
        <f t="shared" si="48"/>
        <v>695</v>
      </c>
      <c r="J1094" s="35">
        <f t="shared" si="48"/>
        <v>33.333333333333336</v>
      </c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</row>
    <row r="1095" spans="1:20" ht="15">
      <c r="A1095" s="3">
        <f t="shared" si="30"/>
        <v>2060</v>
      </c>
      <c r="B1095" s="3">
        <f t="shared" si="40"/>
        <v>366</v>
      </c>
      <c r="C1095" s="35">
        <f t="shared" si="48"/>
        <v>154.75824999999998</v>
      </c>
      <c r="D1095" s="35">
        <f t="shared" si="48"/>
        <v>281.01624999999996</v>
      </c>
      <c r="E1095" s="35">
        <f t="shared" si="48"/>
        <v>780.72550000000012</v>
      </c>
      <c r="F1095" s="35">
        <f t="shared" si="48"/>
        <v>1216.5</v>
      </c>
      <c r="G1095" s="35">
        <f t="shared" si="48"/>
        <v>79.166666666666671</v>
      </c>
      <c r="H1095" s="37">
        <f t="shared" si="48"/>
        <v>600</v>
      </c>
      <c r="I1095" s="35">
        <f t="shared" si="48"/>
        <v>695</v>
      </c>
      <c r="J1095" s="35">
        <f t="shared" si="48"/>
        <v>33.333333333333336</v>
      </c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</row>
    <row r="1096" spans="1:20" ht="15">
      <c r="A1096" s="3">
        <f t="shared" si="30"/>
        <v>2061</v>
      </c>
      <c r="B1096" s="3">
        <f t="shared" si="40"/>
        <v>365</v>
      </c>
      <c r="C1096" s="35">
        <f t="shared" si="48"/>
        <v>154.75825</v>
      </c>
      <c r="D1096" s="35">
        <f t="shared" si="48"/>
        <v>281.01624999999996</v>
      </c>
      <c r="E1096" s="35">
        <f t="shared" si="48"/>
        <v>780.72550000000001</v>
      </c>
      <c r="F1096" s="35">
        <f t="shared" si="48"/>
        <v>1216.5</v>
      </c>
      <c r="G1096" s="35">
        <f t="shared" si="48"/>
        <v>79.166666666666671</v>
      </c>
      <c r="H1096" s="37">
        <f t="shared" si="48"/>
        <v>600</v>
      </c>
      <c r="I1096" s="35">
        <f t="shared" si="48"/>
        <v>695</v>
      </c>
      <c r="J1096" s="35">
        <f t="shared" si="48"/>
        <v>33.333333333333336</v>
      </c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</row>
    <row r="1097" spans="1:20" ht="15">
      <c r="A1097" s="3">
        <f t="shared" si="30"/>
        <v>2062</v>
      </c>
      <c r="B1097" s="3">
        <f t="shared" si="40"/>
        <v>365</v>
      </c>
      <c r="C1097" s="35">
        <f t="shared" ref="C1097:J1106" ca="1" si="49">AVERAGE(OFFSET(C$581,($A1097-$A$1097)*12,0,12,1))</f>
        <v>154.75825</v>
      </c>
      <c r="D1097" s="35">
        <f t="shared" ca="1" si="49"/>
        <v>281.0162499999999</v>
      </c>
      <c r="E1097" s="35">
        <f t="shared" ca="1" si="49"/>
        <v>780.7254999999999</v>
      </c>
      <c r="F1097" s="35">
        <f t="shared" ca="1" si="49"/>
        <v>1216.5</v>
      </c>
      <c r="G1097" s="35">
        <f t="shared" ca="1" si="49"/>
        <v>79.166666666666671</v>
      </c>
      <c r="H1097" s="35">
        <f t="shared" ca="1" si="49"/>
        <v>600</v>
      </c>
      <c r="I1097" s="35">
        <f t="shared" ca="1" si="49"/>
        <v>695</v>
      </c>
      <c r="J1097" s="35">
        <f t="shared" ca="1" si="49"/>
        <v>33.333333333333336</v>
      </c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</row>
    <row r="1098" spans="1:20" ht="15">
      <c r="A1098" s="3">
        <f t="shared" si="30"/>
        <v>2063</v>
      </c>
      <c r="B1098" s="3">
        <f t="shared" si="40"/>
        <v>365</v>
      </c>
      <c r="C1098" s="35">
        <f t="shared" ca="1" si="49"/>
        <v>154.75825</v>
      </c>
      <c r="D1098" s="35">
        <f t="shared" ca="1" si="49"/>
        <v>281.0162499999999</v>
      </c>
      <c r="E1098" s="35">
        <f t="shared" ca="1" si="49"/>
        <v>780.7254999999999</v>
      </c>
      <c r="F1098" s="35">
        <f t="shared" ca="1" si="49"/>
        <v>1216.5</v>
      </c>
      <c r="G1098" s="35">
        <f t="shared" ca="1" si="49"/>
        <v>79.166666666666671</v>
      </c>
      <c r="H1098" s="35">
        <f t="shared" ca="1" si="49"/>
        <v>600</v>
      </c>
      <c r="I1098" s="35">
        <f t="shared" ca="1" si="49"/>
        <v>695</v>
      </c>
      <c r="J1098" s="35">
        <f t="shared" ca="1" si="49"/>
        <v>33.333333333333336</v>
      </c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</row>
    <row r="1099" spans="1:20" ht="15">
      <c r="A1099" s="3">
        <f t="shared" si="30"/>
        <v>2064</v>
      </c>
      <c r="B1099" s="3">
        <f t="shared" si="40"/>
        <v>366</v>
      </c>
      <c r="C1099" s="35">
        <f t="shared" ca="1" si="49"/>
        <v>154.75825</v>
      </c>
      <c r="D1099" s="35">
        <f t="shared" ca="1" si="49"/>
        <v>281.0162499999999</v>
      </c>
      <c r="E1099" s="35">
        <f t="shared" ca="1" si="49"/>
        <v>780.7254999999999</v>
      </c>
      <c r="F1099" s="35">
        <f t="shared" ca="1" si="49"/>
        <v>1216.5</v>
      </c>
      <c r="G1099" s="35">
        <f t="shared" ca="1" si="49"/>
        <v>79.166666666666671</v>
      </c>
      <c r="H1099" s="35">
        <f t="shared" ca="1" si="49"/>
        <v>600</v>
      </c>
      <c r="I1099" s="35">
        <f t="shared" ca="1" si="49"/>
        <v>695</v>
      </c>
      <c r="J1099" s="35">
        <f t="shared" ca="1" si="49"/>
        <v>33.333333333333336</v>
      </c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</row>
    <row r="1100" spans="1:20" ht="15">
      <c r="A1100" s="3">
        <f t="shared" si="30"/>
        <v>2065</v>
      </c>
      <c r="B1100" s="3">
        <f t="shared" si="40"/>
        <v>365</v>
      </c>
      <c r="C1100" s="35">
        <f t="shared" ca="1" si="49"/>
        <v>154.75825</v>
      </c>
      <c r="D1100" s="35">
        <f t="shared" ca="1" si="49"/>
        <v>281.0162499999999</v>
      </c>
      <c r="E1100" s="35">
        <f t="shared" ca="1" si="49"/>
        <v>780.7254999999999</v>
      </c>
      <c r="F1100" s="35">
        <f t="shared" ca="1" si="49"/>
        <v>1216.5</v>
      </c>
      <c r="G1100" s="35">
        <f t="shared" ca="1" si="49"/>
        <v>79.166666666666671</v>
      </c>
      <c r="H1100" s="35">
        <f t="shared" ca="1" si="49"/>
        <v>600</v>
      </c>
      <c r="I1100" s="35">
        <f t="shared" ca="1" si="49"/>
        <v>695</v>
      </c>
      <c r="J1100" s="35">
        <f t="shared" ca="1" si="49"/>
        <v>33.333333333333336</v>
      </c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</row>
    <row r="1101" spans="1:20" ht="15">
      <c r="A1101" s="3">
        <f t="shared" si="30"/>
        <v>2066</v>
      </c>
      <c r="B1101" s="3">
        <f t="shared" si="40"/>
        <v>365</v>
      </c>
      <c r="C1101" s="35">
        <f t="shared" ca="1" si="49"/>
        <v>154.75825</v>
      </c>
      <c r="D1101" s="35">
        <f t="shared" ca="1" si="49"/>
        <v>281.0162499999999</v>
      </c>
      <c r="E1101" s="35">
        <f t="shared" ca="1" si="49"/>
        <v>780.7254999999999</v>
      </c>
      <c r="F1101" s="35">
        <f t="shared" ca="1" si="49"/>
        <v>1216.5</v>
      </c>
      <c r="G1101" s="35">
        <f t="shared" ca="1" si="49"/>
        <v>79.166666666666671</v>
      </c>
      <c r="H1101" s="35">
        <f t="shared" ca="1" si="49"/>
        <v>600</v>
      </c>
      <c r="I1101" s="35">
        <f t="shared" ca="1" si="49"/>
        <v>695</v>
      </c>
      <c r="J1101" s="35">
        <f t="shared" ca="1" si="49"/>
        <v>33.333333333333336</v>
      </c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</row>
    <row r="1102" spans="1:20" ht="15">
      <c r="A1102" s="3">
        <f t="shared" si="30"/>
        <v>2067</v>
      </c>
      <c r="B1102" s="3">
        <f t="shared" si="40"/>
        <v>365</v>
      </c>
      <c r="C1102" s="35">
        <f t="shared" ca="1" si="49"/>
        <v>154.75825</v>
      </c>
      <c r="D1102" s="35">
        <f t="shared" ca="1" si="49"/>
        <v>281.0162499999999</v>
      </c>
      <c r="E1102" s="35">
        <f t="shared" ca="1" si="49"/>
        <v>780.7254999999999</v>
      </c>
      <c r="F1102" s="35">
        <f t="shared" ca="1" si="49"/>
        <v>1216.5</v>
      </c>
      <c r="G1102" s="35">
        <f t="shared" ca="1" si="49"/>
        <v>79.166666666666671</v>
      </c>
      <c r="H1102" s="35">
        <f t="shared" ca="1" si="49"/>
        <v>600</v>
      </c>
      <c r="I1102" s="35">
        <f t="shared" ca="1" si="49"/>
        <v>695</v>
      </c>
      <c r="J1102" s="35">
        <f t="shared" ca="1" si="49"/>
        <v>33.333333333333336</v>
      </c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</row>
    <row r="1103" spans="1:20" ht="15">
      <c r="A1103" s="3">
        <f t="shared" si="30"/>
        <v>2068</v>
      </c>
      <c r="B1103" s="3">
        <f t="shared" si="40"/>
        <v>366</v>
      </c>
      <c r="C1103" s="35">
        <f t="shared" ca="1" si="49"/>
        <v>154.75825</v>
      </c>
      <c r="D1103" s="35">
        <f t="shared" ca="1" si="49"/>
        <v>281.0162499999999</v>
      </c>
      <c r="E1103" s="35">
        <f t="shared" ca="1" si="49"/>
        <v>780.7254999999999</v>
      </c>
      <c r="F1103" s="35">
        <f t="shared" ca="1" si="49"/>
        <v>1216.5</v>
      </c>
      <c r="G1103" s="35">
        <f t="shared" ca="1" si="49"/>
        <v>79.166666666666671</v>
      </c>
      <c r="H1103" s="35">
        <f t="shared" ca="1" si="49"/>
        <v>600</v>
      </c>
      <c r="I1103" s="35">
        <f t="shared" ca="1" si="49"/>
        <v>695</v>
      </c>
      <c r="J1103" s="35">
        <f t="shared" ca="1" si="49"/>
        <v>33.333333333333336</v>
      </c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</row>
    <row r="1104" spans="1:20" ht="15">
      <c r="A1104" s="3">
        <f t="shared" si="30"/>
        <v>2069</v>
      </c>
      <c r="B1104" s="3">
        <f t="shared" si="40"/>
        <v>365</v>
      </c>
      <c r="C1104" s="35">
        <f t="shared" ca="1" si="49"/>
        <v>154.75825</v>
      </c>
      <c r="D1104" s="35">
        <f t="shared" ca="1" si="49"/>
        <v>281.0162499999999</v>
      </c>
      <c r="E1104" s="35">
        <f t="shared" ca="1" si="49"/>
        <v>780.7254999999999</v>
      </c>
      <c r="F1104" s="35">
        <f t="shared" ca="1" si="49"/>
        <v>1216.5</v>
      </c>
      <c r="G1104" s="35">
        <f t="shared" ca="1" si="49"/>
        <v>79.166666666666671</v>
      </c>
      <c r="H1104" s="35">
        <f t="shared" ca="1" si="49"/>
        <v>600</v>
      </c>
      <c r="I1104" s="35">
        <f t="shared" ca="1" si="49"/>
        <v>695</v>
      </c>
      <c r="J1104" s="35">
        <f t="shared" ca="1" si="49"/>
        <v>33.333333333333336</v>
      </c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</row>
    <row r="1105" spans="1:20" ht="15">
      <c r="A1105" s="3">
        <f t="shared" ref="A1105:A1135" si="50">A1104+1</f>
        <v>2070</v>
      </c>
      <c r="B1105" s="3">
        <f t="shared" si="40"/>
        <v>365</v>
      </c>
      <c r="C1105" s="35">
        <f t="shared" ca="1" si="49"/>
        <v>154.75825</v>
      </c>
      <c r="D1105" s="35">
        <f t="shared" ca="1" si="49"/>
        <v>281.0162499999999</v>
      </c>
      <c r="E1105" s="35">
        <f t="shared" ca="1" si="49"/>
        <v>780.7254999999999</v>
      </c>
      <c r="F1105" s="35">
        <f t="shared" ca="1" si="49"/>
        <v>1216.5</v>
      </c>
      <c r="G1105" s="35">
        <f t="shared" ca="1" si="49"/>
        <v>79.166666666666671</v>
      </c>
      <c r="H1105" s="35">
        <f t="shared" ca="1" si="49"/>
        <v>600</v>
      </c>
      <c r="I1105" s="35">
        <f t="shared" ca="1" si="49"/>
        <v>695</v>
      </c>
      <c r="J1105" s="35">
        <f t="shared" ca="1" si="49"/>
        <v>33.333333333333336</v>
      </c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</row>
    <row r="1106" spans="1:20" ht="15">
      <c r="A1106" s="3">
        <f t="shared" si="50"/>
        <v>2071</v>
      </c>
      <c r="B1106" s="3">
        <f t="shared" si="40"/>
        <v>365</v>
      </c>
      <c r="C1106" s="35">
        <f t="shared" ca="1" si="49"/>
        <v>154.75825</v>
      </c>
      <c r="D1106" s="35">
        <f t="shared" ca="1" si="49"/>
        <v>281.0162499999999</v>
      </c>
      <c r="E1106" s="35">
        <f t="shared" ca="1" si="49"/>
        <v>780.7254999999999</v>
      </c>
      <c r="F1106" s="35">
        <f t="shared" ca="1" si="49"/>
        <v>1216.5</v>
      </c>
      <c r="G1106" s="35">
        <f t="shared" ca="1" si="49"/>
        <v>79.166666666666671</v>
      </c>
      <c r="H1106" s="35">
        <f t="shared" ca="1" si="49"/>
        <v>600</v>
      </c>
      <c r="I1106" s="35">
        <f t="shared" ca="1" si="49"/>
        <v>695</v>
      </c>
      <c r="J1106" s="35">
        <f t="shared" ca="1" si="49"/>
        <v>33.333333333333336</v>
      </c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</row>
    <row r="1107" spans="1:20" ht="15">
      <c r="A1107" s="3">
        <f t="shared" si="50"/>
        <v>2072</v>
      </c>
      <c r="B1107" s="3">
        <f t="shared" si="40"/>
        <v>366</v>
      </c>
      <c r="C1107" s="35">
        <f t="shared" ref="C1107:J1116" ca="1" si="51">AVERAGE(OFFSET(C$581,($A1107-$A$1097)*12,0,12,1))</f>
        <v>154.75825</v>
      </c>
      <c r="D1107" s="35">
        <f t="shared" ca="1" si="51"/>
        <v>281.0162499999999</v>
      </c>
      <c r="E1107" s="35">
        <f t="shared" ca="1" si="51"/>
        <v>780.7254999999999</v>
      </c>
      <c r="F1107" s="35">
        <f t="shared" ca="1" si="51"/>
        <v>1216.5</v>
      </c>
      <c r="G1107" s="35">
        <f t="shared" ca="1" si="51"/>
        <v>79.166666666666671</v>
      </c>
      <c r="H1107" s="35">
        <f t="shared" ca="1" si="51"/>
        <v>600</v>
      </c>
      <c r="I1107" s="35">
        <f t="shared" ca="1" si="51"/>
        <v>695</v>
      </c>
      <c r="J1107" s="35">
        <f t="shared" ca="1" si="51"/>
        <v>33.333333333333336</v>
      </c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</row>
    <row r="1108" spans="1:20" ht="15">
      <c r="A1108" s="3">
        <f t="shared" si="50"/>
        <v>2073</v>
      </c>
      <c r="B1108" s="3">
        <f t="shared" si="40"/>
        <v>365</v>
      </c>
      <c r="C1108" s="35">
        <f t="shared" ca="1" si="51"/>
        <v>154.75825</v>
      </c>
      <c r="D1108" s="35">
        <f t="shared" ca="1" si="51"/>
        <v>281.0162499999999</v>
      </c>
      <c r="E1108" s="35">
        <f t="shared" ca="1" si="51"/>
        <v>780.7254999999999</v>
      </c>
      <c r="F1108" s="35">
        <f t="shared" ca="1" si="51"/>
        <v>1216.5</v>
      </c>
      <c r="G1108" s="35">
        <f t="shared" ca="1" si="51"/>
        <v>79.166666666666671</v>
      </c>
      <c r="H1108" s="35">
        <f t="shared" ca="1" si="51"/>
        <v>600</v>
      </c>
      <c r="I1108" s="35">
        <f t="shared" ca="1" si="51"/>
        <v>695</v>
      </c>
      <c r="J1108" s="35">
        <f t="shared" ca="1" si="51"/>
        <v>33.333333333333336</v>
      </c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</row>
    <row r="1109" spans="1:20" ht="15">
      <c r="A1109" s="3">
        <f t="shared" si="50"/>
        <v>2074</v>
      </c>
      <c r="B1109" s="3">
        <f t="shared" si="40"/>
        <v>365</v>
      </c>
      <c r="C1109" s="35">
        <f t="shared" ca="1" si="51"/>
        <v>154.75825</v>
      </c>
      <c r="D1109" s="35">
        <f t="shared" ca="1" si="51"/>
        <v>281.0162499999999</v>
      </c>
      <c r="E1109" s="35">
        <f t="shared" ca="1" si="51"/>
        <v>780.7254999999999</v>
      </c>
      <c r="F1109" s="35">
        <f t="shared" ca="1" si="51"/>
        <v>1216.5</v>
      </c>
      <c r="G1109" s="35">
        <f t="shared" ca="1" si="51"/>
        <v>79.166666666666671</v>
      </c>
      <c r="H1109" s="35">
        <f t="shared" ca="1" si="51"/>
        <v>600</v>
      </c>
      <c r="I1109" s="35">
        <f t="shared" ca="1" si="51"/>
        <v>695</v>
      </c>
      <c r="J1109" s="35">
        <f t="shared" ca="1" si="51"/>
        <v>33.333333333333336</v>
      </c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</row>
    <row r="1110" spans="1:20" ht="15">
      <c r="A1110" s="3">
        <f t="shared" si="50"/>
        <v>2075</v>
      </c>
      <c r="B1110" s="3">
        <f t="shared" si="40"/>
        <v>365</v>
      </c>
      <c r="C1110" s="35">
        <f t="shared" ca="1" si="51"/>
        <v>154.75825</v>
      </c>
      <c r="D1110" s="35">
        <f t="shared" ca="1" si="51"/>
        <v>281.0162499999999</v>
      </c>
      <c r="E1110" s="35">
        <f t="shared" ca="1" si="51"/>
        <v>780.7254999999999</v>
      </c>
      <c r="F1110" s="35">
        <f t="shared" ca="1" si="51"/>
        <v>1216.5</v>
      </c>
      <c r="G1110" s="35">
        <f t="shared" ca="1" si="51"/>
        <v>79.166666666666671</v>
      </c>
      <c r="H1110" s="35">
        <f t="shared" ca="1" si="51"/>
        <v>600</v>
      </c>
      <c r="I1110" s="35">
        <f t="shared" ca="1" si="51"/>
        <v>695</v>
      </c>
      <c r="J1110" s="35">
        <f t="shared" ca="1" si="51"/>
        <v>33.333333333333336</v>
      </c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</row>
    <row r="1111" spans="1:20" ht="15">
      <c r="A1111" s="3">
        <f t="shared" si="50"/>
        <v>2076</v>
      </c>
      <c r="B1111" s="3">
        <f t="shared" si="40"/>
        <v>366</v>
      </c>
      <c r="C1111" s="35">
        <f t="shared" ca="1" si="51"/>
        <v>154.75825</v>
      </c>
      <c r="D1111" s="35">
        <f t="shared" ca="1" si="51"/>
        <v>281.0162499999999</v>
      </c>
      <c r="E1111" s="35">
        <f t="shared" ca="1" si="51"/>
        <v>780.7254999999999</v>
      </c>
      <c r="F1111" s="35">
        <f t="shared" ca="1" si="51"/>
        <v>1216.5</v>
      </c>
      <c r="G1111" s="35">
        <f t="shared" ca="1" si="51"/>
        <v>79.166666666666671</v>
      </c>
      <c r="H1111" s="35">
        <f t="shared" ca="1" si="51"/>
        <v>600</v>
      </c>
      <c r="I1111" s="35">
        <f t="shared" ca="1" si="51"/>
        <v>695</v>
      </c>
      <c r="J1111" s="35">
        <f t="shared" ca="1" si="51"/>
        <v>33.333333333333336</v>
      </c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</row>
    <row r="1112" spans="1:20" ht="15">
      <c r="A1112" s="3">
        <f t="shared" si="50"/>
        <v>2077</v>
      </c>
      <c r="B1112" s="3">
        <f t="shared" si="40"/>
        <v>365</v>
      </c>
      <c r="C1112" s="35">
        <f t="shared" ca="1" si="51"/>
        <v>154.75825</v>
      </c>
      <c r="D1112" s="35">
        <f t="shared" ca="1" si="51"/>
        <v>281.0162499999999</v>
      </c>
      <c r="E1112" s="35">
        <f t="shared" ca="1" si="51"/>
        <v>780.7254999999999</v>
      </c>
      <c r="F1112" s="35">
        <f t="shared" ca="1" si="51"/>
        <v>1216.5</v>
      </c>
      <c r="G1112" s="35">
        <f t="shared" ca="1" si="51"/>
        <v>79.166666666666671</v>
      </c>
      <c r="H1112" s="35">
        <f t="shared" ca="1" si="51"/>
        <v>600</v>
      </c>
      <c r="I1112" s="35">
        <f t="shared" ca="1" si="51"/>
        <v>695</v>
      </c>
      <c r="J1112" s="35">
        <f t="shared" ca="1" si="51"/>
        <v>33.333333333333336</v>
      </c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</row>
    <row r="1113" spans="1:20" ht="15">
      <c r="A1113" s="3">
        <f t="shared" si="50"/>
        <v>2078</v>
      </c>
      <c r="B1113" s="3">
        <f t="shared" si="40"/>
        <v>365</v>
      </c>
      <c r="C1113" s="35">
        <f t="shared" ca="1" si="51"/>
        <v>154.75825</v>
      </c>
      <c r="D1113" s="35">
        <f t="shared" ca="1" si="51"/>
        <v>281.0162499999999</v>
      </c>
      <c r="E1113" s="35">
        <f t="shared" ca="1" si="51"/>
        <v>780.7254999999999</v>
      </c>
      <c r="F1113" s="35">
        <f t="shared" ca="1" si="51"/>
        <v>1216.5</v>
      </c>
      <c r="G1113" s="35">
        <f t="shared" ca="1" si="51"/>
        <v>79.166666666666671</v>
      </c>
      <c r="H1113" s="35">
        <f t="shared" ca="1" si="51"/>
        <v>600</v>
      </c>
      <c r="I1113" s="35">
        <f t="shared" ca="1" si="51"/>
        <v>695</v>
      </c>
      <c r="J1113" s="35">
        <f t="shared" ca="1" si="51"/>
        <v>33.333333333333336</v>
      </c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</row>
    <row r="1114" spans="1:20" ht="15">
      <c r="A1114" s="3">
        <f t="shared" si="50"/>
        <v>2079</v>
      </c>
      <c r="B1114" s="3">
        <f t="shared" ref="B1114:B1135" si="52">DATE(A1114+1,1,1)-DATE(A1114,1,1)</f>
        <v>365</v>
      </c>
      <c r="C1114" s="35">
        <f t="shared" ca="1" si="51"/>
        <v>154.75825</v>
      </c>
      <c r="D1114" s="35">
        <f t="shared" ca="1" si="51"/>
        <v>281.0162499999999</v>
      </c>
      <c r="E1114" s="35">
        <f t="shared" ca="1" si="51"/>
        <v>780.7254999999999</v>
      </c>
      <c r="F1114" s="35">
        <f t="shared" ca="1" si="51"/>
        <v>1216.5</v>
      </c>
      <c r="G1114" s="35">
        <f t="shared" ca="1" si="51"/>
        <v>79.166666666666671</v>
      </c>
      <c r="H1114" s="35">
        <f t="shared" ca="1" si="51"/>
        <v>600</v>
      </c>
      <c r="I1114" s="35">
        <f t="shared" ca="1" si="51"/>
        <v>695</v>
      </c>
      <c r="J1114" s="35">
        <f t="shared" ca="1" si="51"/>
        <v>33.333333333333336</v>
      </c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</row>
    <row r="1115" spans="1:20" ht="15">
      <c r="A1115" s="3">
        <f t="shared" si="50"/>
        <v>2080</v>
      </c>
      <c r="B1115" s="3">
        <f t="shared" si="52"/>
        <v>366</v>
      </c>
      <c r="C1115" s="35">
        <f t="shared" ca="1" si="51"/>
        <v>154.75825</v>
      </c>
      <c r="D1115" s="35">
        <f t="shared" ca="1" si="51"/>
        <v>281.0162499999999</v>
      </c>
      <c r="E1115" s="35">
        <f t="shared" ca="1" si="51"/>
        <v>780.7254999999999</v>
      </c>
      <c r="F1115" s="35">
        <f t="shared" ca="1" si="51"/>
        <v>1216.5</v>
      </c>
      <c r="G1115" s="35">
        <f t="shared" ca="1" si="51"/>
        <v>79.166666666666671</v>
      </c>
      <c r="H1115" s="35">
        <f t="shared" ca="1" si="51"/>
        <v>600</v>
      </c>
      <c r="I1115" s="35">
        <f t="shared" ca="1" si="51"/>
        <v>695</v>
      </c>
      <c r="J1115" s="35">
        <f t="shared" ca="1" si="51"/>
        <v>33.333333333333336</v>
      </c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</row>
    <row r="1116" spans="1:20" ht="15">
      <c r="A1116" s="3">
        <f t="shared" si="50"/>
        <v>2081</v>
      </c>
      <c r="B1116" s="3">
        <f t="shared" si="52"/>
        <v>365</v>
      </c>
      <c r="C1116" s="35">
        <f t="shared" ca="1" si="51"/>
        <v>154.75825</v>
      </c>
      <c r="D1116" s="35">
        <f t="shared" ca="1" si="51"/>
        <v>281.0162499999999</v>
      </c>
      <c r="E1116" s="35">
        <f t="shared" ca="1" si="51"/>
        <v>780.7254999999999</v>
      </c>
      <c r="F1116" s="35">
        <f t="shared" ca="1" si="51"/>
        <v>1216.5</v>
      </c>
      <c r="G1116" s="35">
        <f t="shared" ca="1" si="51"/>
        <v>79.166666666666671</v>
      </c>
      <c r="H1116" s="35">
        <f t="shared" ca="1" si="51"/>
        <v>600</v>
      </c>
      <c r="I1116" s="35">
        <f t="shared" ca="1" si="51"/>
        <v>695</v>
      </c>
      <c r="J1116" s="35">
        <f t="shared" ca="1" si="51"/>
        <v>33.333333333333336</v>
      </c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</row>
    <row r="1117" spans="1:20" ht="15">
      <c r="A1117" s="3">
        <f t="shared" si="50"/>
        <v>2082</v>
      </c>
      <c r="B1117" s="3">
        <f t="shared" si="52"/>
        <v>365</v>
      </c>
      <c r="C1117" s="35">
        <f t="shared" ref="C1117:J1126" ca="1" si="53">AVERAGE(OFFSET(C$581,($A1117-$A$1097)*12,0,12,1))</f>
        <v>154.75825</v>
      </c>
      <c r="D1117" s="35">
        <f t="shared" ca="1" si="53"/>
        <v>281.0162499999999</v>
      </c>
      <c r="E1117" s="35">
        <f t="shared" ca="1" si="53"/>
        <v>780.7254999999999</v>
      </c>
      <c r="F1117" s="35">
        <f t="shared" ca="1" si="53"/>
        <v>1216.5</v>
      </c>
      <c r="G1117" s="35">
        <f t="shared" ca="1" si="53"/>
        <v>79.166666666666671</v>
      </c>
      <c r="H1117" s="35">
        <f t="shared" ca="1" si="53"/>
        <v>600</v>
      </c>
      <c r="I1117" s="35">
        <f t="shared" ca="1" si="53"/>
        <v>695</v>
      </c>
      <c r="J1117" s="35">
        <f t="shared" ca="1" si="53"/>
        <v>33.333333333333336</v>
      </c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</row>
    <row r="1118" spans="1:20" ht="15">
      <c r="A1118" s="3">
        <f t="shared" si="50"/>
        <v>2083</v>
      </c>
      <c r="B1118" s="3">
        <f t="shared" si="52"/>
        <v>365</v>
      </c>
      <c r="C1118" s="35">
        <f t="shared" ca="1" si="53"/>
        <v>154.75825</v>
      </c>
      <c r="D1118" s="35">
        <f t="shared" ca="1" si="53"/>
        <v>281.0162499999999</v>
      </c>
      <c r="E1118" s="35">
        <f t="shared" ca="1" si="53"/>
        <v>780.7254999999999</v>
      </c>
      <c r="F1118" s="35">
        <f t="shared" ca="1" si="53"/>
        <v>1216.5</v>
      </c>
      <c r="G1118" s="35">
        <f t="shared" ca="1" si="53"/>
        <v>79.166666666666671</v>
      </c>
      <c r="H1118" s="35">
        <f t="shared" ca="1" si="53"/>
        <v>600</v>
      </c>
      <c r="I1118" s="35">
        <f t="shared" ca="1" si="53"/>
        <v>695</v>
      </c>
      <c r="J1118" s="35">
        <f t="shared" ca="1" si="53"/>
        <v>33.333333333333336</v>
      </c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</row>
    <row r="1119" spans="1:20" ht="15">
      <c r="A1119" s="3">
        <f t="shared" si="50"/>
        <v>2084</v>
      </c>
      <c r="B1119" s="3">
        <f t="shared" si="52"/>
        <v>366</v>
      </c>
      <c r="C1119" s="35">
        <f t="shared" ca="1" si="53"/>
        <v>154.75825</v>
      </c>
      <c r="D1119" s="35">
        <f t="shared" ca="1" si="53"/>
        <v>281.0162499999999</v>
      </c>
      <c r="E1119" s="35">
        <f t="shared" ca="1" si="53"/>
        <v>780.7254999999999</v>
      </c>
      <c r="F1119" s="35">
        <f t="shared" ca="1" si="53"/>
        <v>1216.5</v>
      </c>
      <c r="G1119" s="35">
        <f t="shared" ca="1" si="53"/>
        <v>79.166666666666671</v>
      </c>
      <c r="H1119" s="35">
        <f t="shared" ca="1" si="53"/>
        <v>600</v>
      </c>
      <c r="I1119" s="35">
        <f t="shared" ca="1" si="53"/>
        <v>695</v>
      </c>
      <c r="J1119" s="35">
        <f t="shared" ca="1" si="53"/>
        <v>33.333333333333336</v>
      </c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</row>
    <row r="1120" spans="1:20" ht="15">
      <c r="A1120" s="3">
        <f t="shared" si="50"/>
        <v>2085</v>
      </c>
      <c r="B1120" s="3">
        <f t="shared" si="52"/>
        <v>365</v>
      </c>
      <c r="C1120" s="35">
        <f t="shared" ca="1" si="53"/>
        <v>154.75825</v>
      </c>
      <c r="D1120" s="35">
        <f t="shared" ca="1" si="53"/>
        <v>281.0162499999999</v>
      </c>
      <c r="E1120" s="35">
        <f t="shared" ca="1" si="53"/>
        <v>780.7254999999999</v>
      </c>
      <c r="F1120" s="35">
        <f t="shared" ca="1" si="53"/>
        <v>1216.5</v>
      </c>
      <c r="G1120" s="35">
        <f t="shared" ca="1" si="53"/>
        <v>79.166666666666671</v>
      </c>
      <c r="H1120" s="35">
        <f t="shared" ca="1" si="53"/>
        <v>600</v>
      </c>
      <c r="I1120" s="35">
        <f t="shared" ca="1" si="53"/>
        <v>695</v>
      </c>
      <c r="J1120" s="35">
        <f t="shared" ca="1" si="53"/>
        <v>33.333333333333336</v>
      </c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</row>
    <row r="1121" spans="1:20" ht="15">
      <c r="A1121" s="3">
        <f t="shared" si="50"/>
        <v>2086</v>
      </c>
      <c r="B1121" s="3">
        <f t="shared" si="52"/>
        <v>365</v>
      </c>
      <c r="C1121" s="35">
        <f t="shared" ca="1" si="53"/>
        <v>154.75825</v>
      </c>
      <c r="D1121" s="35">
        <f t="shared" ca="1" si="53"/>
        <v>281.0162499999999</v>
      </c>
      <c r="E1121" s="35">
        <f t="shared" ca="1" si="53"/>
        <v>780.7254999999999</v>
      </c>
      <c r="F1121" s="35">
        <f t="shared" ca="1" si="53"/>
        <v>1216.5</v>
      </c>
      <c r="G1121" s="35">
        <f t="shared" ca="1" si="53"/>
        <v>79.166666666666671</v>
      </c>
      <c r="H1121" s="35">
        <f t="shared" ca="1" si="53"/>
        <v>600</v>
      </c>
      <c r="I1121" s="35">
        <f t="shared" ca="1" si="53"/>
        <v>695</v>
      </c>
      <c r="J1121" s="35">
        <f t="shared" ca="1" si="53"/>
        <v>33.333333333333336</v>
      </c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</row>
    <row r="1122" spans="1:20" ht="15">
      <c r="A1122" s="3">
        <f t="shared" si="50"/>
        <v>2087</v>
      </c>
      <c r="B1122" s="3">
        <f t="shared" si="52"/>
        <v>365</v>
      </c>
      <c r="C1122" s="35">
        <f t="shared" ca="1" si="53"/>
        <v>154.75825</v>
      </c>
      <c r="D1122" s="35">
        <f t="shared" ca="1" si="53"/>
        <v>281.0162499999999</v>
      </c>
      <c r="E1122" s="35">
        <f t="shared" ca="1" si="53"/>
        <v>780.7254999999999</v>
      </c>
      <c r="F1122" s="35">
        <f t="shared" ca="1" si="53"/>
        <v>1216.5</v>
      </c>
      <c r="G1122" s="35">
        <f t="shared" ca="1" si="53"/>
        <v>79.166666666666671</v>
      </c>
      <c r="H1122" s="35">
        <f t="shared" ca="1" si="53"/>
        <v>600</v>
      </c>
      <c r="I1122" s="35">
        <f t="shared" ca="1" si="53"/>
        <v>695</v>
      </c>
      <c r="J1122" s="35">
        <f t="shared" ca="1" si="53"/>
        <v>33.333333333333336</v>
      </c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</row>
    <row r="1123" spans="1:20" ht="15">
      <c r="A1123" s="3">
        <f t="shared" si="50"/>
        <v>2088</v>
      </c>
      <c r="B1123" s="3">
        <f t="shared" si="52"/>
        <v>366</v>
      </c>
      <c r="C1123" s="35">
        <f t="shared" ca="1" si="53"/>
        <v>154.75825</v>
      </c>
      <c r="D1123" s="35">
        <f t="shared" ca="1" si="53"/>
        <v>281.0162499999999</v>
      </c>
      <c r="E1123" s="35">
        <f t="shared" ca="1" si="53"/>
        <v>780.7254999999999</v>
      </c>
      <c r="F1123" s="35">
        <f t="shared" ca="1" si="53"/>
        <v>1216.5</v>
      </c>
      <c r="G1123" s="35">
        <f t="shared" ca="1" si="53"/>
        <v>79.166666666666671</v>
      </c>
      <c r="H1123" s="35">
        <f t="shared" ca="1" si="53"/>
        <v>600</v>
      </c>
      <c r="I1123" s="35">
        <f t="shared" ca="1" si="53"/>
        <v>695</v>
      </c>
      <c r="J1123" s="35">
        <f t="shared" ca="1" si="53"/>
        <v>33.333333333333336</v>
      </c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</row>
    <row r="1124" spans="1:20" ht="15">
      <c r="A1124" s="3">
        <f t="shared" si="50"/>
        <v>2089</v>
      </c>
      <c r="B1124" s="3">
        <f t="shared" si="52"/>
        <v>365</v>
      </c>
      <c r="C1124" s="35">
        <f t="shared" ca="1" si="53"/>
        <v>154.75825</v>
      </c>
      <c r="D1124" s="35">
        <f t="shared" ca="1" si="53"/>
        <v>281.0162499999999</v>
      </c>
      <c r="E1124" s="35">
        <f t="shared" ca="1" si="53"/>
        <v>780.7254999999999</v>
      </c>
      <c r="F1124" s="35">
        <f t="shared" ca="1" si="53"/>
        <v>1216.5</v>
      </c>
      <c r="G1124" s="35">
        <f t="shared" ca="1" si="53"/>
        <v>79.166666666666671</v>
      </c>
      <c r="H1124" s="35">
        <f t="shared" ca="1" si="53"/>
        <v>600</v>
      </c>
      <c r="I1124" s="35">
        <f t="shared" ca="1" si="53"/>
        <v>695</v>
      </c>
      <c r="J1124" s="35">
        <f t="shared" ca="1" si="53"/>
        <v>33.333333333333336</v>
      </c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</row>
    <row r="1125" spans="1:20" ht="15">
      <c r="A1125" s="3">
        <f t="shared" si="50"/>
        <v>2090</v>
      </c>
      <c r="B1125" s="3">
        <f t="shared" si="52"/>
        <v>365</v>
      </c>
      <c r="C1125" s="35">
        <f t="shared" ca="1" si="53"/>
        <v>154.75825</v>
      </c>
      <c r="D1125" s="35">
        <f t="shared" ca="1" si="53"/>
        <v>281.0162499999999</v>
      </c>
      <c r="E1125" s="35">
        <f t="shared" ca="1" si="53"/>
        <v>780.7254999999999</v>
      </c>
      <c r="F1125" s="35">
        <f t="shared" ca="1" si="53"/>
        <v>1216.5</v>
      </c>
      <c r="G1125" s="35">
        <f t="shared" ca="1" si="53"/>
        <v>79.166666666666671</v>
      </c>
      <c r="H1125" s="35">
        <f t="shared" ca="1" si="53"/>
        <v>600</v>
      </c>
      <c r="I1125" s="35">
        <f t="shared" ca="1" si="53"/>
        <v>695</v>
      </c>
      <c r="J1125" s="35">
        <f t="shared" ca="1" si="53"/>
        <v>33.333333333333336</v>
      </c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</row>
    <row r="1126" spans="1:20" ht="15">
      <c r="A1126" s="3">
        <f t="shared" si="50"/>
        <v>2091</v>
      </c>
      <c r="B1126" s="3">
        <f t="shared" si="52"/>
        <v>365</v>
      </c>
      <c r="C1126" s="35">
        <f t="shared" ca="1" si="53"/>
        <v>154.75825</v>
      </c>
      <c r="D1126" s="35">
        <f t="shared" ca="1" si="53"/>
        <v>281.0162499999999</v>
      </c>
      <c r="E1126" s="35">
        <f t="shared" ca="1" si="53"/>
        <v>780.7254999999999</v>
      </c>
      <c r="F1126" s="35">
        <f t="shared" ca="1" si="53"/>
        <v>1216.5</v>
      </c>
      <c r="G1126" s="35">
        <f t="shared" ca="1" si="53"/>
        <v>79.166666666666671</v>
      </c>
      <c r="H1126" s="35">
        <f t="shared" ca="1" si="53"/>
        <v>600</v>
      </c>
      <c r="I1126" s="35">
        <f t="shared" ca="1" si="53"/>
        <v>695</v>
      </c>
      <c r="J1126" s="35">
        <f t="shared" ca="1" si="53"/>
        <v>33.333333333333336</v>
      </c>
    </row>
    <row r="1127" spans="1:20" ht="15">
      <c r="A1127" s="3">
        <f t="shared" si="50"/>
        <v>2092</v>
      </c>
      <c r="B1127" s="3">
        <f t="shared" si="52"/>
        <v>366</v>
      </c>
      <c r="C1127" s="35">
        <f t="shared" ref="C1127:J1135" ca="1" si="54">AVERAGE(OFFSET(C$581,($A1127-$A$1097)*12,0,12,1))</f>
        <v>154.75825</v>
      </c>
      <c r="D1127" s="35">
        <f t="shared" ca="1" si="54"/>
        <v>281.0162499999999</v>
      </c>
      <c r="E1127" s="35">
        <f t="shared" ca="1" si="54"/>
        <v>780.7254999999999</v>
      </c>
      <c r="F1127" s="35">
        <f t="shared" ca="1" si="54"/>
        <v>1216.5</v>
      </c>
      <c r="G1127" s="35">
        <f t="shared" ca="1" si="54"/>
        <v>79.166666666666671</v>
      </c>
      <c r="H1127" s="35">
        <f t="shared" ca="1" si="54"/>
        <v>600</v>
      </c>
      <c r="I1127" s="35">
        <f t="shared" ca="1" si="54"/>
        <v>695</v>
      </c>
      <c r="J1127" s="35">
        <f t="shared" ca="1" si="54"/>
        <v>33.333333333333336</v>
      </c>
    </row>
    <row r="1128" spans="1:20" ht="15">
      <c r="A1128" s="3">
        <f t="shared" si="50"/>
        <v>2093</v>
      </c>
      <c r="B1128" s="3">
        <f t="shared" si="52"/>
        <v>365</v>
      </c>
      <c r="C1128" s="35">
        <f t="shared" ca="1" si="54"/>
        <v>154.75825</v>
      </c>
      <c r="D1128" s="35">
        <f t="shared" ca="1" si="54"/>
        <v>281.0162499999999</v>
      </c>
      <c r="E1128" s="35">
        <f t="shared" ca="1" si="54"/>
        <v>780.7254999999999</v>
      </c>
      <c r="F1128" s="35">
        <f t="shared" ca="1" si="54"/>
        <v>1216.5</v>
      </c>
      <c r="G1128" s="35">
        <f t="shared" ca="1" si="54"/>
        <v>79.166666666666671</v>
      </c>
      <c r="H1128" s="35">
        <f t="shared" ca="1" si="54"/>
        <v>600</v>
      </c>
      <c r="I1128" s="35">
        <f t="shared" ca="1" si="54"/>
        <v>695</v>
      </c>
      <c r="J1128" s="35">
        <f t="shared" ca="1" si="54"/>
        <v>33.333333333333336</v>
      </c>
    </row>
    <row r="1129" spans="1:20" ht="15">
      <c r="A1129" s="3">
        <f t="shared" si="50"/>
        <v>2094</v>
      </c>
      <c r="B1129" s="3">
        <f t="shared" si="52"/>
        <v>365</v>
      </c>
      <c r="C1129" s="35">
        <f t="shared" ca="1" si="54"/>
        <v>154.75825</v>
      </c>
      <c r="D1129" s="35">
        <f t="shared" ca="1" si="54"/>
        <v>281.0162499999999</v>
      </c>
      <c r="E1129" s="35">
        <f t="shared" ca="1" si="54"/>
        <v>780.7254999999999</v>
      </c>
      <c r="F1129" s="35">
        <f t="shared" ca="1" si="54"/>
        <v>1216.5</v>
      </c>
      <c r="G1129" s="35">
        <f t="shared" ca="1" si="54"/>
        <v>79.166666666666671</v>
      </c>
      <c r="H1129" s="35">
        <f t="shared" ca="1" si="54"/>
        <v>600</v>
      </c>
      <c r="I1129" s="35">
        <f t="shared" ca="1" si="54"/>
        <v>695</v>
      </c>
      <c r="J1129" s="35">
        <f t="shared" ca="1" si="54"/>
        <v>33.333333333333336</v>
      </c>
    </row>
    <row r="1130" spans="1:20" ht="15">
      <c r="A1130" s="3">
        <f t="shared" si="50"/>
        <v>2095</v>
      </c>
      <c r="B1130" s="3">
        <f t="shared" si="52"/>
        <v>365</v>
      </c>
      <c r="C1130" s="35">
        <f t="shared" ca="1" si="54"/>
        <v>154.75825</v>
      </c>
      <c r="D1130" s="35">
        <f t="shared" ca="1" si="54"/>
        <v>281.0162499999999</v>
      </c>
      <c r="E1130" s="35">
        <f t="shared" ca="1" si="54"/>
        <v>780.7254999999999</v>
      </c>
      <c r="F1130" s="35">
        <f t="shared" ca="1" si="54"/>
        <v>1216.5</v>
      </c>
      <c r="G1130" s="35">
        <f t="shared" ca="1" si="54"/>
        <v>79.166666666666671</v>
      </c>
      <c r="H1130" s="35">
        <f t="shared" ca="1" si="54"/>
        <v>600</v>
      </c>
      <c r="I1130" s="35">
        <f t="shared" ca="1" si="54"/>
        <v>695</v>
      </c>
      <c r="J1130" s="35">
        <f t="shared" ca="1" si="54"/>
        <v>33.333333333333336</v>
      </c>
    </row>
    <row r="1131" spans="1:20" ht="15">
      <c r="A1131" s="3">
        <f t="shared" si="50"/>
        <v>2096</v>
      </c>
      <c r="B1131" s="3">
        <f t="shared" si="52"/>
        <v>366</v>
      </c>
      <c r="C1131" s="35">
        <f t="shared" ca="1" si="54"/>
        <v>154.75825</v>
      </c>
      <c r="D1131" s="35">
        <f t="shared" ca="1" si="54"/>
        <v>281.0162499999999</v>
      </c>
      <c r="E1131" s="35">
        <f t="shared" ca="1" si="54"/>
        <v>780.7254999999999</v>
      </c>
      <c r="F1131" s="35">
        <f t="shared" ca="1" si="54"/>
        <v>1216.5</v>
      </c>
      <c r="G1131" s="35">
        <f t="shared" ca="1" si="54"/>
        <v>79.166666666666671</v>
      </c>
      <c r="H1131" s="35">
        <f t="shared" ca="1" si="54"/>
        <v>600</v>
      </c>
      <c r="I1131" s="35">
        <f t="shared" ca="1" si="54"/>
        <v>695</v>
      </c>
      <c r="J1131" s="35">
        <f t="shared" ca="1" si="54"/>
        <v>33.333333333333336</v>
      </c>
    </row>
    <row r="1132" spans="1:20" ht="15">
      <c r="A1132" s="3">
        <f t="shared" si="50"/>
        <v>2097</v>
      </c>
      <c r="B1132" s="3">
        <f t="shared" si="52"/>
        <v>365</v>
      </c>
      <c r="C1132" s="35">
        <f t="shared" ca="1" si="54"/>
        <v>154.75825</v>
      </c>
      <c r="D1132" s="35">
        <f t="shared" ca="1" si="54"/>
        <v>281.0162499999999</v>
      </c>
      <c r="E1132" s="35">
        <f t="shared" ca="1" si="54"/>
        <v>780.7254999999999</v>
      </c>
      <c r="F1132" s="35">
        <f t="shared" ca="1" si="54"/>
        <v>1216.5</v>
      </c>
      <c r="G1132" s="35">
        <f t="shared" ca="1" si="54"/>
        <v>79.166666666666671</v>
      </c>
      <c r="H1132" s="35">
        <f t="shared" ca="1" si="54"/>
        <v>600</v>
      </c>
      <c r="I1132" s="35">
        <f t="shared" ca="1" si="54"/>
        <v>695</v>
      </c>
      <c r="J1132" s="35">
        <f t="shared" ca="1" si="54"/>
        <v>33.333333333333336</v>
      </c>
    </row>
    <row r="1133" spans="1:20" ht="15">
      <c r="A1133" s="3">
        <f t="shared" si="50"/>
        <v>2098</v>
      </c>
      <c r="B1133" s="3">
        <f t="shared" si="52"/>
        <v>365</v>
      </c>
      <c r="C1133" s="35">
        <f t="shared" ca="1" si="54"/>
        <v>154.75825</v>
      </c>
      <c r="D1133" s="35">
        <f t="shared" ca="1" si="54"/>
        <v>281.0162499999999</v>
      </c>
      <c r="E1133" s="35">
        <f t="shared" ca="1" si="54"/>
        <v>780.7254999999999</v>
      </c>
      <c r="F1133" s="35">
        <f t="shared" ca="1" si="54"/>
        <v>1216.5</v>
      </c>
      <c r="G1133" s="35">
        <f t="shared" ca="1" si="54"/>
        <v>79.166666666666671</v>
      </c>
      <c r="H1133" s="35">
        <f t="shared" ca="1" si="54"/>
        <v>600</v>
      </c>
      <c r="I1133" s="35">
        <f t="shared" ca="1" si="54"/>
        <v>695</v>
      </c>
      <c r="J1133" s="35">
        <f t="shared" ca="1" si="54"/>
        <v>33.333333333333336</v>
      </c>
    </row>
    <row r="1134" spans="1:20" ht="15">
      <c r="A1134" s="3">
        <f t="shared" si="50"/>
        <v>2099</v>
      </c>
      <c r="B1134" s="3">
        <f t="shared" si="52"/>
        <v>365</v>
      </c>
      <c r="C1134" s="35">
        <f t="shared" ca="1" si="54"/>
        <v>154.75825</v>
      </c>
      <c r="D1134" s="35">
        <f t="shared" ca="1" si="54"/>
        <v>281.0162499999999</v>
      </c>
      <c r="E1134" s="35">
        <f t="shared" ca="1" si="54"/>
        <v>780.7254999999999</v>
      </c>
      <c r="F1134" s="35">
        <f t="shared" ca="1" si="54"/>
        <v>1216.5</v>
      </c>
      <c r="G1134" s="35">
        <f t="shared" ca="1" si="54"/>
        <v>79.166666666666671</v>
      </c>
      <c r="H1134" s="35">
        <f t="shared" ca="1" si="54"/>
        <v>600</v>
      </c>
      <c r="I1134" s="35">
        <f t="shared" ca="1" si="54"/>
        <v>695</v>
      </c>
      <c r="J1134" s="35">
        <f t="shared" ca="1" si="54"/>
        <v>33.333333333333336</v>
      </c>
    </row>
    <row r="1135" spans="1:20" ht="15">
      <c r="A1135" s="3">
        <f t="shared" si="50"/>
        <v>2100</v>
      </c>
      <c r="B1135" s="3">
        <f t="shared" si="52"/>
        <v>365</v>
      </c>
      <c r="C1135" s="35">
        <f t="shared" ca="1" si="54"/>
        <v>154.75825</v>
      </c>
      <c r="D1135" s="35">
        <f t="shared" ca="1" si="54"/>
        <v>281.0162499999999</v>
      </c>
      <c r="E1135" s="35">
        <f t="shared" ca="1" si="54"/>
        <v>780.7254999999999</v>
      </c>
      <c r="F1135" s="35">
        <f t="shared" ca="1" si="54"/>
        <v>1216.5</v>
      </c>
      <c r="G1135" s="35">
        <f t="shared" ca="1" si="54"/>
        <v>79.166666666666671</v>
      </c>
      <c r="H1135" s="35">
        <f t="shared" ca="1" si="54"/>
        <v>600</v>
      </c>
      <c r="I1135" s="35">
        <f t="shared" ca="1" si="54"/>
        <v>695</v>
      </c>
      <c r="J1135" s="35">
        <f t="shared" ca="1" si="54"/>
        <v>33.333333333333336</v>
      </c>
    </row>
    <row r="1136" spans="1:20">
      <c r="A1136" s="32"/>
      <c r="B1136" s="32"/>
      <c r="C1136" s="34"/>
      <c r="D1136" s="34"/>
      <c r="E1136" s="34"/>
      <c r="F1136" s="34"/>
      <c r="G1136" s="34"/>
    </row>
    <row r="1137" spans="1:2">
      <c r="A1137" s="32"/>
      <c r="B1137" s="32"/>
    </row>
    <row r="1138" spans="1:2">
      <c r="A1138" s="32"/>
      <c r="B1138" s="32"/>
    </row>
    <row r="1139" spans="1:2">
      <c r="A1139" s="32"/>
      <c r="B1139" s="32"/>
    </row>
    <row r="1140" spans="1:2">
      <c r="A1140" s="32"/>
      <c r="B1140" s="32"/>
    </row>
    <row r="1141" spans="1:2">
      <c r="A1141" s="32"/>
      <c r="B1141" s="32"/>
    </row>
    <row r="1142" spans="1:2">
      <c r="A1142" s="32"/>
      <c r="B1142" s="32"/>
    </row>
    <row r="1143" spans="1:2">
      <c r="A1143" s="32"/>
      <c r="B1143" s="32"/>
    </row>
    <row r="1144" spans="1:2">
      <c r="A1144" s="32"/>
      <c r="B1144" s="32"/>
    </row>
    <row r="1145" spans="1:2">
      <c r="A1145" s="32"/>
      <c r="B1145" s="32"/>
    </row>
    <row r="1146" spans="1:2">
      <c r="A1146" s="32"/>
      <c r="B1146" s="32"/>
    </row>
    <row r="1147" spans="1:2">
      <c r="A1147" s="32"/>
      <c r="B1147" s="32"/>
    </row>
    <row r="1148" spans="1:2">
      <c r="A1148" s="32"/>
      <c r="B1148" s="32"/>
    </row>
    <row r="1149" spans="1:2">
      <c r="A1149" s="32"/>
      <c r="B1149" s="32"/>
    </row>
    <row r="1150" spans="1:2">
      <c r="A1150" s="32"/>
      <c r="B1150" s="32"/>
    </row>
    <row r="1151" spans="1:2">
      <c r="A1151" s="32"/>
      <c r="B1151" s="32"/>
    </row>
    <row r="1152" spans="1:2">
      <c r="A1152" s="32"/>
      <c r="B1152" s="32"/>
    </row>
    <row r="1153" spans="1:2">
      <c r="A1153" s="32"/>
      <c r="B1153" s="32"/>
    </row>
    <row r="1154" spans="1:2">
      <c r="A1154" s="32"/>
      <c r="B1154" s="32"/>
    </row>
    <row r="1155" spans="1:2">
      <c r="A1155" s="32"/>
      <c r="B1155" s="32"/>
    </row>
  </sheetData>
  <mergeCells count="1">
    <mergeCell ref="C14:E14"/>
  </mergeCells>
  <pageMargins left="0.25" right="0.25" top="0.5" bottom="0.5" header="0.25" footer="0.25"/>
  <pageSetup paperSize="119" scale="9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55"/>
  <sheetViews>
    <sheetView zoomScale="70" zoomScaleNormal="70" workbookViewId="0">
      <pane xSplit="1" ySplit="16" topLeftCell="B17" activePane="bottomRight" state="frozen"/>
      <selection activeCell="P33" sqref="P33"/>
      <selection pane="topRight" activeCell="P33" sqref="P33"/>
      <selection pane="bottomLeft" activeCell="P33" sqref="P33"/>
      <selection pane="bottomRight" activeCell="B17" sqref="B17"/>
    </sheetView>
  </sheetViews>
  <sheetFormatPr defaultColWidth="7.109375" defaultRowHeight="12.75"/>
  <cols>
    <col min="1" max="1" width="7.5546875" style="33" bestFit="1" customWidth="1"/>
    <col min="2" max="2" width="10" style="33" customWidth="1"/>
    <col min="3" max="3" width="12" style="33" customWidth="1"/>
    <col min="4" max="4" width="12.109375" style="33" bestFit="1" customWidth="1"/>
    <col min="5" max="5" width="10.109375" style="33" bestFit="1" customWidth="1"/>
    <col min="6" max="16384" width="7.109375" style="32"/>
  </cols>
  <sheetData>
    <row r="1" spans="1:7" ht="15.75">
      <c r="A1" s="84" t="s">
        <v>64</v>
      </c>
    </row>
    <row r="2" spans="1:7" ht="15.75">
      <c r="A2" s="84" t="s">
        <v>65</v>
      </c>
    </row>
    <row r="3" spans="1:7" ht="15.75">
      <c r="A3" s="84" t="s">
        <v>66</v>
      </c>
    </row>
    <row r="4" spans="1:7" ht="15.75">
      <c r="A4" s="84" t="s">
        <v>67</v>
      </c>
    </row>
    <row r="5" spans="1:7" ht="15.75">
      <c r="A5" s="84" t="s">
        <v>69</v>
      </c>
    </row>
    <row r="6" spans="1:7" ht="15.75">
      <c r="A6" s="84" t="s">
        <v>72</v>
      </c>
    </row>
    <row r="8" spans="1:7" ht="20.25">
      <c r="A8" s="31" t="s">
        <v>43</v>
      </c>
    </row>
    <row r="9" spans="1:7" ht="15" customHeight="1">
      <c r="A9" s="57" t="s">
        <v>25</v>
      </c>
    </row>
    <row r="10" spans="1:7" ht="15" customHeight="1">
      <c r="A10" s="62"/>
      <c r="F10" s="60"/>
      <c r="G10" s="60"/>
    </row>
    <row r="11" spans="1:7" ht="15" customHeight="1">
      <c r="A11" s="62"/>
      <c r="B11" s="61"/>
      <c r="C11" s="61"/>
      <c r="D11" s="61"/>
      <c r="E11" s="61"/>
      <c r="F11" s="60"/>
      <c r="G11" s="60"/>
    </row>
    <row r="12" spans="1:7" ht="15" customHeight="1"/>
    <row r="13" spans="1:7" ht="15" customHeight="1">
      <c r="B13" s="59" t="s">
        <v>24</v>
      </c>
      <c r="C13" s="58">
        <f>1-0.261</f>
        <v>0.73899999999999999</v>
      </c>
      <c r="D13" s="59" t="s">
        <v>23</v>
      </c>
      <c r="E13" s="58">
        <f>1+0.261</f>
        <v>1.2610000000000001</v>
      </c>
    </row>
    <row r="14" spans="1:7" ht="15" customHeight="1">
      <c r="A14" s="57"/>
      <c r="B14" s="87" t="s">
        <v>42</v>
      </c>
      <c r="C14" s="87"/>
      <c r="D14" s="56" t="s">
        <v>41</v>
      </c>
      <c r="E14" s="51"/>
    </row>
    <row r="15" spans="1:7" s="54" customFormat="1" ht="63">
      <c r="B15" s="55" t="s">
        <v>40</v>
      </c>
      <c r="C15" s="55" t="s">
        <v>39</v>
      </c>
      <c r="D15" s="55" t="s">
        <v>38</v>
      </c>
      <c r="E15" s="23" t="s">
        <v>37</v>
      </c>
    </row>
    <row r="16" spans="1:7" s="54" customFormat="1" ht="21" customHeight="1">
      <c r="A16" s="20" t="s">
        <v>2</v>
      </c>
      <c r="B16" s="46" t="s">
        <v>1</v>
      </c>
      <c r="C16" s="46" t="s">
        <v>1</v>
      </c>
      <c r="D16" s="46" t="s">
        <v>1</v>
      </c>
      <c r="E16" s="20" t="s">
        <v>36</v>
      </c>
    </row>
    <row r="17" spans="1:5" ht="15">
      <c r="A17" s="13">
        <v>42005</v>
      </c>
      <c r="B17" s="4">
        <f>8.0406 * CHOOSE(CONTROL!$C$9, $C$13, 100%, $E$13) + CHOOSE(CONTROL!$C$28, 0.0003, 0)</f>
        <v>8.0408999999999988</v>
      </c>
      <c r="C17" s="4">
        <f>7.6773 * CHOOSE(CONTROL!$C$9, $C$13, 100%, $E$13) + CHOOSE(CONTROL!$C$28, 0.0003, 0)</f>
        <v>7.6776</v>
      </c>
      <c r="D17" s="4">
        <f>15.1549 * CHOOSE(CONTROL!$C$9, $C$13, 100%, $E$13) + CHOOSE(CONTROL!$C$28, 0, 0)</f>
        <v>15.1549</v>
      </c>
      <c r="E17" s="4">
        <f>56.52 * CHOOSE(CONTROL!$C$9, $C$13, 100%, $E$13) + CHOOSE(CONTROL!$C$28, 0, 0)</f>
        <v>56.52</v>
      </c>
    </row>
    <row r="18" spans="1:5" ht="15">
      <c r="A18" s="13">
        <v>42036</v>
      </c>
      <c r="B18" s="4">
        <f>9.525 * CHOOSE(CONTROL!$C$9, $C$13, 100%, $E$13) + CHOOSE(CONTROL!$C$28, 0.0003, 0)</f>
        <v>9.5252999999999997</v>
      </c>
      <c r="C18" s="4">
        <f>9.1617 * CHOOSE(CONTROL!$C$9, $C$13, 100%, $E$13) + CHOOSE(CONTROL!$C$28, 0.0003, 0)</f>
        <v>9.161999999999999</v>
      </c>
      <c r="D18" s="4">
        <f>14.0001 * CHOOSE(CONTROL!$C$9, $C$13, 100%, $E$13) + CHOOSE(CONTROL!$C$28, 0, 0)</f>
        <v>14.0001</v>
      </c>
      <c r="E18" s="4">
        <f>46.39 * CHOOSE(CONTROL!$C$9, $C$13, 100%, $E$13) + CHOOSE(CONTROL!$C$28, 0, 0)</f>
        <v>46.39</v>
      </c>
    </row>
    <row r="19" spans="1:5" ht="15">
      <c r="A19" s="13">
        <v>42064</v>
      </c>
      <c r="B19" s="4">
        <f>8.4906 * CHOOSE(CONTROL!$C$9, $C$13, 100%, $E$13) + CHOOSE(CONTROL!$C$28, 0.0003, 0)</f>
        <v>8.4908999999999999</v>
      </c>
      <c r="C19" s="4">
        <f>8.1273 * CHOOSE(CONTROL!$C$9, $C$13, 100%, $E$13) + CHOOSE(CONTROL!$C$28, 0.0003, 0)</f>
        <v>8.1275999999999993</v>
      </c>
      <c r="D19" s="4">
        <f>18.4133 * CHOOSE(CONTROL!$C$9, $C$13, 100%, $E$13) + CHOOSE(CONTROL!$C$28, 0, 0)</f>
        <v>18.4133</v>
      </c>
      <c r="E19" s="4">
        <f>50.34 * CHOOSE(CONTROL!$C$9, $C$13, 100%, $E$13) + CHOOSE(CONTROL!$C$28, 0, 0)</f>
        <v>50.34</v>
      </c>
    </row>
    <row r="20" spans="1:5" ht="15">
      <c r="A20" s="13">
        <v>42095</v>
      </c>
      <c r="B20" s="4">
        <f>8.6812 * CHOOSE(CONTROL!$C$9, $C$13, 100%, $E$13) + CHOOSE(CONTROL!$C$28, 0.0003, 0)</f>
        <v>8.6814999999999998</v>
      </c>
      <c r="C20" s="4">
        <f>8.318 * CHOOSE(CONTROL!$C$9, $C$13, 100%, $E$13) + CHOOSE(CONTROL!$C$28, 0.0003, 0)</f>
        <v>8.3182999999999989</v>
      </c>
      <c r="D20" s="4">
        <f>14.2277 * CHOOSE(CONTROL!$C$9, $C$13, 100%, $E$13) + CHOOSE(CONTROL!$C$28, 0, 0)</f>
        <v>14.2277</v>
      </c>
      <c r="E20" s="4">
        <f>45.72 * CHOOSE(CONTROL!$C$9, $C$13, 100%, $E$13) + CHOOSE(CONTROL!$C$28, 0, 0)</f>
        <v>45.72</v>
      </c>
    </row>
    <row r="21" spans="1:5" ht="15">
      <c r="A21" s="13">
        <v>42125</v>
      </c>
      <c r="B21" s="4">
        <f>9.1891 * CHOOSE(CONTROL!$C$9, $C$13, 100%, $E$13) + CHOOSE(CONTROL!$C$28, 0.0311, 0)</f>
        <v>9.2202000000000002</v>
      </c>
      <c r="C21" s="4">
        <f>8.8258 * CHOOSE(CONTROL!$C$9, $C$13, 100%, $E$13) + CHOOSE(CONTROL!$C$28, 0.0311, 0)</f>
        <v>8.8568999999999996</v>
      </c>
      <c r="D21" s="4">
        <f>16.0893 * CHOOSE(CONTROL!$C$9, $C$13, 100%, $E$13) + CHOOSE(CONTROL!$C$28, 0, 0)</f>
        <v>16.089300000000001</v>
      </c>
      <c r="E21" s="4">
        <f>55.26 * CHOOSE(CONTROL!$C$9, $C$13, 100%, $E$13) + CHOOSE(CONTROL!$C$28, 0, 0)</f>
        <v>55.26</v>
      </c>
    </row>
    <row r="22" spans="1:5" ht="15">
      <c r="A22" s="13">
        <v>42156</v>
      </c>
      <c r="B22" s="4">
        <f>8.9625 * CHOOSE(CONTROL!$C$9, $C$13, 100%, $E$13) + CHOOSE(CONTROL!$C$28, 0.0311, 0)</f>
        <v>8.9936000000000007</v>
      </c>
      <c r="C22" s="4">
        <f>8.5992 * CHOOSE(CONTROL!$C$9, $C$13, 100%, $E$13) + CHOOSE(CONTROL!$C$28, 0.0311, 0)</f>
        <v>8.6303000000000001</v>
      </c>
      <c r="D22" s="4">
        <f>15.938 * CHOOSE(CONTROL!$C$9, $C$13, 100%, $E$13) + CHOOSE(CONTROL!$C$28, 0, 0)</f>
        <v>15.938000000000001</v>
      </c>
      <c r="E22" s="4">
        <f>57.26 * CHOOSE(CONTROL!$C$9, $C$13, 100%, $E$13) + CHOOSE(CONTROL!$C$28, 0, 0)</f>
        <v>57.26</v>
      </c>
    </row>
    <row r="23" spans="1:5" ht="15">
      <c r="A23" s="13">
        <v>42186</v>
      </c>
      <c r="B23" s="4">
        <f>7.8203 * CHOOSE(CONTROL!$C$9, $C$13, 100%, $E$13) + CHOOSE(CONTROL!$C$28, 0.0311, 0)</f>
        <v>7.8513999999999999</v>
      </c>
      <c r="C23" s="4">
        <f>7.457 * CHOOSE(CONTROL!$C$9, $C$13, 100%, $E$13) + CHOOSE(CONTROL!$C$28, 0.0311, 0)</f>
        <v>7.4881000000000002</v>
      </c>
      <c r="D23" s="4">
        <f>15.4431 * CHOOSE(CONTROL!$C$9, $C$13, 100%, $E$13) + CHOOSE(CONTROL!$C$28, 0, 0)</f>
        <v>15.443099999999999</v>
      </c>
      <c r="E23" s="4">
        <f>59.68 * CHOOSE(CONTROL!$C$9, $C$13, 100%, $E$13) + CHOOSE(CONTROL!$C$28, 0, 0)</f>
        <v>59.68</v>
      </c>
    </row>
    <row r="24" spans="1:5" ht="15">
      <c r="A24" s="13">
        <v>42217</v>
      </c>
      <c r="B24" s="4">
        <f>6.9594 * CHOOSE(CONTROL!$C$9, $C$13, 100%, $E$13) + CHOOSE(CONTROL!$C$28, 0.0311, 0)</f>
        <v>6.9904999999999999</v>
      </c>
      <c r="C24" s="4">
        <f>6.5961 * CHOOSE(CONTROL!$C$9, $C$13, 100%, $E$13) + CHOOSE(CONTROL!$C$28, 0.0311, 0)</f>
        <v>6.6272000000000002</v>
      </c>
      <c r="D24" s="4">
        <f>13.2631 * CHOOSE(CONTROL!$C$9, $C$13, 100%, $E$13) + CHOOSE(CONTROL!$C$28, 0, 0)</f>
        <v>13.2631</v>
      </c>
      <c r="E24" s="4">
        <f>50.36 * CHOOSE(CONTROL!$C$9, $C$13, 100%, $E$13) + CHOOSE(CONTROL!$C$28, 0, 0)</f>
        <v>50.36</v>
      </c>
    </row>
    <row r="25" spans="1:5" ht="15">
      <c r="A25" s="13">
        <v>42248</v>
      </c>
      <c r="B25" s="4">
        <f>7.5078 * CHOOSE(CONTROL!$C$9, $C$13, 100%, $E$13) + CHOOSE(CONTROL!$C$28, 0.0311, 0)</f>
        <v>7.5388999999999999</v>
      </c>
      <c r="C25" s="4">
        <f>7.1445 * CHOOSE(CONTROL!$C$9, $C$13, 100%, $E$13) + CHOOSE(CONTROL!$C$28, 0.0311, 0)</f>
        <v>7.1756000000000002</v>
      </c>
      <c r="D25" s="4">
        <f>12.8777 * CHOOSE(CONTROL!$C$9, $C$13, 100%, $E$13) + CHOOSE(CONTROL!$C$28, 0, 0)</f>
        <v>12.877700000000001</v>
      </c>
      <c r="E25" s="4">
        <f>45.17 * CHOOSE(CONTROL!$C$9, $C$13, 100%, $E$13) + CHOOSE(CONTROL!$C$28, 0, 0)</f>
        <v>45.17</v>
      </c>
    </row>
    <row r="26" spans="1:5" ht="15">
      <c r="A26" s="13">
        <v>42278</v>
      </c>
      <c r="B26" s="4">
        <f>7.5859 * CHOOSE(CONTROL!$C$9, $C$13, 100%, $E$13) + CHOOSE(CONTROL!$C$28, 0.0003, 0)</f>
        <v>7.5861999999999998</v>
      </c>
      <c r="C26" s="4">
        <f>7.2227 * CHOOSE(CONTROL!$C$9, $C$13, 100%, $E$13) + CHOOSE(CONTROL!$C$28, 0.0003, 0)</f>
        <v>7.2229999999999999</v>
      </c>
      <c r="D26" s="4">
        <f>13.0045 * CHOOSE(CONTROL!$C$9, $C$13, 100%, $E$13) + CHOOSE(CONTROL!$C$28, 0, 0)</f>
        <v>13.0045</v>
      </c>
      <c r="E26" s="4">
        <f>45.56 * CHOOSE(CONTROL!$C$9, $C$13, 100%, $E$13) + CHOOSE(CONTROL!$C$28, 0, 0)</f>
        <v>45.56</v>
      </c>
    </row>
    <row r="27" spans="1:5" ht="15">
      <c r="A27" s="13">
        <v>42309</v>
      </c>
      <c r="B27" s="4">
        <f>7.6641 * CHOOSE(CONTROL!$C$9, $C$13, 100%, $E$13) + CHOOSE(CONTROL!$C$28, 0.0003, 0)</f>
        <v>7.6644000000000005</v>
      </c>
      <c r="C27" s="4">
        <f>7.3008 * CHOOSE(CONTROL!$C$9, $C$13, 100%, $E$13) + CHOOSE(CONTROL!$C$28, 0.0003, 0)</f>
        <v>7.3010999999999999</v>
      </c>
      <c r="D27" s="4">
        <f>13.1486 * CHOOSE(CONTROL!$C$9, $C$13, 100%, $E$13) + CHOOSE(CONTROL!$C$28, 0, 0)</f>
        <v>13.1486</v>
      </c>
      <c r="E27" s="4">
        <f>46.19 * CHOOSE(CONTROL!$C$9, $C$13, 100%, $E$13) + CHOOSE(CONTROL!$C$28, 0, 0)</f>
        <v>46.19</v>
      </c>
    </row>
    <row r="28" spans="1:5" ht="15">
      <c r="A28" s="13">
        <v>42339</v>
      </c>
      <c r="B28" s="4">
        <f>7.7422 * CHOOSE(CONTROL!$C$9, $C$13, 100%, $E$13) + CHOOSE(CONTROL!$C$28, 0.0003, 0)</f>
        <v>7.7425000000000006</v>
      </c>
      <c r="C28" s="4">
        <f>7.3789 * CHOOSE(CONTROL!$C$9, $C$13, 100%, $E$13) + CHOOSE(CONTROL!$C$28, 0.0003, 0)</f>
        <v>7.3792</v>
      </c>
      <c r="D28" s="4">
        <f>13.2955 * CHOOSE(CONTROL!$C$9, $C$13, 100%, $E$13) + CHOOSE(CONTROL!$C$28, 0, 0)</f>
        <v>13.295500000000001</v>
      </c>
      <c r="E28" s="4">
        <f>46.87 * CHOOSE(CONTROL!$C$9, $C$13, 100%, $E$13) + CHOOSE(CONTROL!$C$28, 0, 0)</f>
        <v>46.87</v>
      </c>
    </row>
    <row r="29" spans="1:5" ht="15">
      <c r="A29" s="13">
        <v>42370</v>
      </c>
      <c r="B29" s="4">
        <f>7.8516 * CHOOSE(CONTROL!$C$9, $C$13, 100%, $E$13) + CHOOSE(CONTROL!$C$28, 0.0003, 0)</f>
        <v>7.8519000000000005</v>
      </c>
      <c r="C29" s="4">
        <f>7.4883 * CHOOSE(CONTROL!$C$9, $C$13, 100%, $E$13) + CHOOSE(CONTROL!$C$28, 0.0003, 0)</f>
        <v>7.4885999999999999</v>
      </c>
      <c r="D29" s="4">
        <f>13.4353 * CHOOSE(CONTROL!$C$9, $C$13, 100%, $E$13) + CHOOSE(CONTROL!$C$28, 0, 0)</f>
        <v>13.4353</v>
      </c>
      <c r="E29" s="4">
        <f>47.57 * CHOOSE(CONTROL!$C$9, $C$13, 100%, $E$13) + CHOOSE(CONTROL!$C$28, 0, 0)</f>
        <v>47.57</v>
      </c>
    </row>
    <row r="30" spans="1:5" ht="15">
      <c r="A30" s="13">
        <v>42401</v>
      </c>
      <c r="B30" s="4">
        <f>7.9219 * CHOOSE(CONTROL!$C$9, $C$13, 100%, $E$13) + CHOOSE(CONTROL!$C$28, 0.0003, 0)</f>
        <v>7.9222000000000001</v>
      </c>
      <c r="C30" s="4">
        <f>7.5586 * CHOOSE(CONTROL!$C$9, $C$13, 100%, $E$13) + CHOOSE(CONTROL!$C$28, 0.0003, 0)</f>
        <v>7.5589000000000004</v>
      </c>
      <c r="D30" s="4">
        <f>13.5109 * CHOOSE(CONTROL!$C$9, $C$13, 100%, $E$13) + CHOOSE(CONTROL!$C$28, 0, 0)</f>
        <v>13.510899999999999</v>
      </c>
      <c r="E30" s="4">
        <f>48.22 * CHOOSE(CONTROL!$C$9, $C$13, 100%, $E$13) + CHOOSE(CONTROL!$C$28, 0, 0)</f>
        <v>48.22</v>
      </c>
    </row>
    <row r="31" spans="1:5" ht="15">
      <c r="A31" s="13">
        <v>42430</v>
      </c>
      <c r="B31" s="4">
        <f>7.9922 * CHOOSE(CONTROL!$C$9, $C$13, 100%, $E$13) + CHOOSE(CONTROL!$C$28, 0.0003, 0)</f>
        <v>7.9925000000000006</v>
      </c>
      <c r="C31" s="4">
        <f>7.6289 * CHOOSE(CONTROL!$C$9, $C$13, 100%, $E$13) + CHOOSE(CONTROL!$C$28, 0.0003, 0)</f>
        <v>7.6292</v>
      </c>
      <c r="D31" s="4">
        <f>13.5109 * CHOOSE(CONTROL!$C$9, $C$13, 100%, $E$13) + CHOOSE(CONTROL!$C$28, 0, 0)</f>
        <v>13.510899999999999</v>
      </c>
      <c r="E31" s="4">
        <f>48.85 * CHOOSE(CONTROL!$C$9, $C$13, 100%, $E$13) + CHOOSE(CONTROL!$C$28, 0, 0)</f>
        <v>48.85</v>
      </c>
    </row>
    <row r="32" spans="1:5" ht="15">
      <c r="A32" s="13">
        <v>42461</v>
      </c>
      <c r="B32" s="4">
        <f>8.0547 * CHOOSE(CONTROL!$C$9, $C$13, 100%, $E$13) + CHOOSE(CONTROL!$C$28, 0.0003, 0)</f>
        <v>8.0549999999999997</v>
      </c>
      <c r="C32" s="4">
        <f>7.6914 * CHOOSE(CONTROL!$C$9, $C$13, 100%, $E$13) + CHOOSE(CONTROL!$C$28, 0.0003, 0)</f>
        <v>7.6917</v>
      </c>
      <c r="D32" s="4">
        <f>13.4713 * CHOOSE(CONTROL!$C$9, $C$13, 100%, $E$13) + CHOOSE(CONTROL!$C$28, 0, 0)</f>
        <v>13.471299999999999</v>
      </c>
      <c r="E32" s="4">
        <f>49.44 * CHOOSE(CONTROL!$C$9, $C$13, 100%, $E$13) + CHOOSE(CONTROL!$C$28, 0, 0)</f>
        <v>49.44</v>
      </c>
    </row>
    <row r="33" spans="1:5" ht="15">
      <c r="A33" s="13">
        <v>42491</v>
      </c>
      <c r="B33" s="4">
        <f>8.1172 * CHOOSE(CONTROL!$C$9, $C$13, 100%, $E$13) + CHOOSE(CONTROL!$C$28, 0.0311, 0)</f>
        <v>8.1483000000000008</v>
      </c>
      <c r="C33" s="4">
        <f>7.7539 * CHOOSE(CONTROL!$C$9, $C$13, 100%, $E$13) + CHOOSE(CONTROL!$C$28, 0.0311, 0)</f>
        <v>7.7850000000000001</v>
      </c>
      <c r="D33" s="4">
        <f>13.5203 * CHOOSE(CONTROL!$C$9, $C$13, 100%, $E$13) + CHOOSE(CONTROL!$C$28, 0, 0)</f>
        <v>13.520300000000001</v>
      </c>
      <c r="E33" s="4">
        <f>49.98 * CHOOSE(CONTROL!$C$9, $C$13, 100%, $E$13) + CHOOSE(CONTROL!$C$28, 0, 0)</f>
        <v>49.98</v>
      </c>
    </row>
    <row r="34" spans="1:5" ht="15">
      <c r="A34" s="13">
        <v>42522</v>
      </c>
      <c r="B34" s="4">
        <f>8.1797 * CHOOSE(CONTROL!$C$9, $C$13, 100%, $E$13) + CHOOSE(CONTROL!$C$28, 0.0311, 0)</f>
        <v>8.2108000000000008</v>
      </c>
      <c r="C34" s="4">
        <f>7.8164 * CHOOSE(CONTROL!$C$9, $C$13, 100%, $E$13) + CHOOSE(CONTROL!$C$28, 0.0311, 0)</f>
        <v>7.8475000000000001</v>
      </c>
      <c r="D34" s="4">
        <f>13.601 * CHOOSE(CONTROL!$C$9, $C$13, 100%, $E$13) + CHOOSE(CONTROL!$C$28, 0, 0)</f>
        <v>13.601000000000001</v>
      </c>
      <c r="E34" s="4">
        <f>50.48 * CHOOSE(CONTROL!$C$9, $C$13, 100%, $E$13) + CHOOSE(CONTROL!$C$28, 0, 0)</f>
        <v>50.48</v>
      </c>
    </row>
    <row r="35" spans="1:5" ht="15">
      <c r="A35" s="13">
        <v>42552</v>
      </c>
      <c r="B35" s="4">
        <f>8.2422 * CHOOSE(CONTROL!$C$9, $C$13, 100%, $E$13) + CHOOSE(CONTROL!$C$28, 0.0311, 0)</f>
        <v>8.2733000000000008</v>
      </c>
      <c r="C35" s="4">
        <f>7.8789 * CHOOSE(CONTROL!$C$9, $C$13, 100%, $E$13) + CHOOSE(CONTROL!$C$28, 0.0311, 0)</f>
        <v>7.91</v>
      </c>
      <c r="D35" s="4">
        <f>13.7177 * CHOOSE(CONTROL!$C$9, $C$13, 100%, $E$13) + CHOOSE(CONTROL!$C$28, 0, 0)</f>
        <v>13.717700000000001</v>
      </c>
      <c r="E35" s="4">
        <f>50.85 * CHOOSE(CONTROL!$C$9, $C$13, 100%, $E$13) + CHOOSE(CONTROL!$C$28, 0, 0)</f>
        <v>50.85</v>
      </c>
    </row>
    <row r="36" spans="1:5" ht="15">
      <c r="A36" s="13">
        <v>42583</v>
      </c>
      <c r="B36" s="4">
        <f>8.3125 * CHOOSE(CONTROL!$C$9, $C$13, 100%, $E$13) + CHOOSE(CONTROL!$C$28, 0.0311, 0)</f>
        <v>8.3436000000000003</v>
      </c>
      <c r="C36" s="4">
        <f>7.9492 * CHOOSE(CONTROL!$C$9, $C$13, 100%, $E$13) + CHOOSE(CONTROL!$C$28, 0.0311, 0)</f>
        <v>7.9803000000000006</v>
      </c>
      <c r="D36" s="4">
        <f>13.8409 * CHOOSE(CONTROL!$C$9, $C$13, 100%, $E$13) + CHOOSE(CONTROL!$C$28, 0, 0)</f>
        <v>13.8409</v>
      </c>
      <c r="E36" s="4">
        <f>51.2 * CHOOSE(CONTROL!$C$9, $C$13, 100%, $E$13) + CHOOSE(CONTROL!$C$28, 0, 0)</f>
        <v>51.2</v>
      </c>
    </row>
    <row r="37" spans="1:5" ht="15">
      <c r="A37" s="13">
        <v>42614</v>
      </c>
      <c r="B37" s="4">
        <f>8.3828 * CHOOSE(CONTROL!$C$9, $C$13, 100%, $E$13) + CHOOSE(CONTROL!$C$28, 0.0311, 0)</f>
        <v>8.4138999999999999</v>
      </c>
      <c r="C37" s="4">
        <f>8.0195 * CHOOSE(CONTROL!$C$9, $C$13, 100%, $E$13) + CHOOSE(CONTROL!$C$28, 0.0311, 0)</f>
        <v>8.0506000000000011</v>
      </c>
      <c r="D37" s="4">
        <f>13.9734 * CHOOSE(CONTROL!$C$9, $C$13, 100%, $E$13) + CHOOSE(CONTROL!$C$28, 0, 0)</f>
        <v>13.9734</v>
      </c>
      <c r="E37" s="4">
        <f>51.57 * CHOOSE(CONTROL!$C$9, $C$13, 100%, $E$13) + CHOOSE(CONTROL!$C$28, 0, 0)</f>
        <v>51.57</v>
      </c>
    </row>
    <row r="38" spans="1:5" ht="15">
      <c r="A38" s="13">
        <v>42644</v>
      </c>
      <c r="B38" s="4">
        <f>8.4531 * CHOOSE(CONTROL!$C$9, $C$13, 100%, $E$13) + CHOOSE(CONTROL!$C$28, 0.0003, 0)</f>
        <v>8.4533999999999985</v>
      </c>
      <c r="C38" s="4">
        <f>8.0898 * CHOOSE(CONTROL!$C$9, $C$13, 100%, $E$13) + CHOOSE(CONTROL!$C$28, 0.0003, 0)</f>
        <v>8.0900999999999996</v>
      </c>
      <c r="D38" s="4">
        <f>14.0966 * CHOOSE(CONTROL!$C$9, $C$13, 100%, $E$13) + CHOOSE(CONTROL!$C$28, 0, 0)</f>
        <v>14.0966</v>
      </c>
      <c r="E38" s="4">
        <f>51.96 * CHOOSE(CONTROL!$C$9, $C$13, 100%, $E$13) + CHOOSE(CONTROL!$C$28, 0, 0)</f>
        <v>51.96</v>
      </c>
    </row>
    <row r="39" spans="1:5" ht="15">
      <c r="A39" s="13">
        <v>42675</v>
      </c>
      <c r="B39" s="4">
        <f>8.5156 * CHOOSE(CONTROL!$C$9, $C$13, 100%, $E$13) + CHOOSE(CONTROL!$C$28, 0.0003, 0)</f>
        <v>8.5158999999999985</v>
      </c>
      <c r="C39" s="4">
        <f>8.1523 * CHOOSE(CONTROL!$C$9, $C$13, 100%, $E$13) + CHOOSE(CONTROL!$C$28, 0.0003, 0)</f>
        <v>8.1525999999999996</v>
      </c>
      <c r="D39" s="4">
        <f>14.2018 * CHOOSE(CONTROL!$C$9, $C$13, 100%, $E$13) + CHOOSE(CONTROL!$C$28, 0, 0)</f>
        <v>14.2018</v>
      </c>
      <c r="E39" s="4">
        <f>52.36 * CHOOSE(CONTROL!$C$9, $C$13, 100%, $E$13) + CHOOSE(CONTROL!$C$28, 0, 0)</f>
        <v>52.36</v>
      </c>
    </row>
    <row r="40" spans="1:5" ht="15">
      <c r="A40" s="13">
        <v>42705</v>
      </c>
      <c r="B40" s="4">
        <f>8.5781 * CHOOSE(CONTROL!$C$9, $C$13, 100%, $E$13) + CHOOSE(CONTROL!$C$28, 0.0003, 0)</f>
        <v>8.5783999999999985</v>
      </c>
      <c r="C40" s="4">
        <f>8.2148 * CHOOSE(CONTROL!$C$9, $C$13, 100%, $E$13) + CHOOSE(CONTROL!$C$28, 0.0003, 0)</f>
        <v>8.2150999999999996</v>
      </c>
      <c r="D40" s="4">
        <f>14.3019 * CHOOSE(CONTROL!$C$9, $C$13, 100%, $E$13) + CHOOSE(CONTROL!$C$28, 0, 0)</f>
        <v>14.3019</v>
      </c>
      <c r="E40" s="4">
        <f>52.75 * CHOOSE(CONTROL!$C$9, $C$13, 100%, $E$13) + CHOOSE(CONTROL!$C$28, 0, 0)</f>
        <v>52.75</v>
      </c>
    </row>
    <row r="41" spans="1:5" ht="15">
      <c r="A41" s="13">
        <v>42736</v>
      </c>
      <c r="B41" s="4">
        <f>8.7063 * CHOOSE(CONTROL!$C$9, $C$13, 100%, $E$13) + CHOOSE(CONTROL!$C$28, 0.0003, 0)</f>
        <v>8.7065999999999999</v>
      </c>
      <c r="C41" s="4">
        <f>8.343 * CHOOSE(CONTROL!$C$9, $C$13, 100%, $E$13) + CHOOSE(CONTROL!$C$28, 0.0003, 0)</f>
        <v>8.3432999999999993</v>
      </c>
      <c r="D41" s="4">
        <f>14.4042 * CHOOSE(CONTROL!$C$9, $C$13, 100%, $E$13) + CHOOSE(CONTROL!$C$28, 0, 0)</f>
        <v>14.404199999999999</v>
      </c>
      <c r="E41" s="4">
        <f>53.04 * CHOOSE(CONTROL!$C$9, $C$13, 100%, $E$13) + CHOOSE(CONTROL!$C$28, 0, 0)</f>
        <v>53.04</v>
      </c>
    </row>
    <row r="42" spans="1:5" ht="15">
      <c r="A42" s="13">
        <v>42767</v>
      </c>
      <c r="B42" s="4">
        <f>8.7219 * CHOOSE(CONTROL!$C$9, $C$13, 100%, $E$13) + CHOOSE(CONTROL!$C$28, 0.0003, 0)</f>
        <v>8.7221999999999991</v>
      </c>
      <c r="C42" s="4">
        <f>8.3586 * CHOOSE(CONTROL!$C$9, $C$13, 100%, $E$13) + CHOOSE(CONTROL!$C$28, 0.0003, 0)</f>
        <v>8.3588999999999984</v>
      </c>
      <c r="D42" s="4">
        <f>14.4626 * CHOOSE(CONTROL!$C$9, $C$13, 100%, $E$13) + CHOOSE(CONTROL!$C$28, 0, 0)</f>
        <v>14.4626</v>
      </c>
      <c r="E42" s="4">
        <f>53.34 * CHOOSE(CONTROL!$C$9, $C$13, 100%, $E$13) + CHOOSE(CONTROL!$C$28, 0, 0)</f>
        <v>53.34</v>
      </c>
    </row>
    <row r="43" spans="1:5" ht="15">
      <c r="A43" s="13">
        <v>42795</v>
      </c>
      <c r="B43" s="4">
        <f>8.7437 * CHOOSE(CONTROL!$C$9, $C$13, 100%, $E$13) + CHOOSE(CONTROL!$C$28, 0.0003, 0)</f>
        <v>8.7439999999999998</v>
      </c>
      <c r="C43" s="4">
        <f>8.3805 * CHOOSE(CONTROL!$C$9, $C$13, 100%, $E$13) + CHOOSE(CONTROL!$C$28, 0.0003, 0)</f>
        <v>8.3807999999999989</v>
      </c>
      <c r="D43" s="4">
        <f>14.4784 * CHOOSE(CONTROL!$C$9, $C$13, 100%, $E$13) + CHOOSE(CONTROL!$C$28, 0, 0)</f>
        <v>14.478400000000001</v>
      </c>
      <c r="E43" s="4">
        <f>53.66 * CHOOSE(CONTROL!$C$9, $C$13, 100%, $E$13) + CHOOSE(CONTROL!$C$28, 0, 0)</f>
        <v>53.66</v>
      </c>
    </row>
    <row r="44" spans="1:5" ht="15">
      <c r="A44" s="13">
        <v>42826</v>
      </c>
      <c r="B44" s="4">
        <f>8.7641 * CHOOSE(CONTROL!$C$9, $C$13, 100%, $E$13) + CHOOSE(CONTROL!$C$28, 0.0003, 0)</f>
        <v>8.7643999999999984</v>
      </c>
      <c r="C44" s="4">
        <f>8.4008 * CHOOSE(CONTROL!$C$9, $C$13, 100%, $E$13) + CHOOSE(CONTROL!$C$28, 0.0003, 0)</f>
        <v>8.4010999999999996</v>
      </c>
      <c r="D44" s="4">
        <f>14.4489 * CHOOSE(CONTROL!$C$9, $C$13, 100%, $E$13) + CHOOSE(CONTROL!$C$28, 0, 0)</f>
        <v>14.4489</v>
      </c>
      <c r="E44" s="4">
        <f>53.98 * CHOOSE(CONTROL!$C$9, $C$13, 100%, $E$13) + CHOOSE(CONTROL!$C$28, 0, 0)</f>
        <v>53.98</v>
      </c>
    </row>
    <row r="45" spans="1:5" ht="15">
      <c r="A45" s="13">
        <v>42856</v>
      </c>
      <c r="B45" s="4">
        <f>8.7906 * CHOOSE(CONTROL!$C$9, $C$13, 100%, $E$13) + CHOOSE(CONTROL!$C$28, 0.0311, 0)</f>
        <v>8.8216999999999999</v>
      </c>
      <c r="C45" s="4">
        <f>8.4273 * CHOOSE(CONTROL!$C$9, $C$13, 100%, $E$13) + CHOOSE(CONTROL!$C$28, 0.0311, 0)</f>
        <v>8.458400000000001</v>
      </c>
      <c r="D45" s="4">
        <f>14.4921 * CHOOSE(CONTROL!$C$9, $C$13, 100%, $E$13) + CHOOSE(CONTROL!$C$28, 0, 0)</f>
        <v>14.492100000000001</v>
      </c>
      <c r="E45" s="4">
        <f>54.29 * CHOOSE(CONTROL!$C$9, $C$13, 100%, $E$13) + CHOOSE(CONTROL!$C$28, 0, 0)</f>
        <v>54.29</v>
      </c>
    </row>
    <row r="46" spans="1:5" ht="15">
      <c r="A46" s="13">
        <v>42887</v>
      </c>
      <c r="B46" s="4">
        <f>8.825 * CHOOSE(CONTROL!$C$9, $C$13, 100%, $E$13) + CHOOSE(CONTROL!$C$28, 0.0311, 0)</f>
        <v>8.8560999999999996</v>
      </c>
      <c r="C46" s="4">
        <f>8.4617 * CHOOSE(CONTROL!$C$9, $C$13, 100%, $E$13) + CHOOSE(CONTROL!$C$28, 0.0311, 0)</f>
        <v>8.4928000000000008</v>
      </c>
      <c r="D46" s="4">
        <f>14.5433 * CHOOSE(CONTROL!$C$9, $C$13, 100%, $E$13) + CHOOSE(CONTROL!$C$28, 0, 0)</f>
        <v>14.5433</v>
      </c>
      <c r="E46" s="4">
        <f>54.61 * CHOOSE(CONTROL!$C$9, $C$13, 100%, $E$13) + CHOOSE(CONTROL!$C$28, 0, 0)</f>
        <v>54.61</v>
      </c>
    </row>
    <row r="47" spans="1:5" ht="15">
      <c r="A47" s="13">
        <v>42917</v>
      </c>
      <c r="B47" s="4">
        <f>8.8703 * CHOOSE(CONTROL!$C$9, $C$13, 100%, $E$13) + CHOOSE(CONTROL!$C$28, 0.0311, 0)</f>
        <v>8.9014000000000006</v>
      </c>
      <c r="C47" s="4">
        <f>8.507 * CHOOSE(CONTROL!$C$9, $C$13, 100%, $E$13) + CHOOSE(CONTROL!$C$28, 0.0311, 0)</f>
        <v>8.5381</v>
      </c>
      <c r="D47" s="4">
        <f>14.6225 * CHOOSE(CONTROL!$C$9, $C$13, 100%, $E$13) + CHOOSE(CONTROL!$C$28, 0, 0)</f>
        <v>14.6225</v>
      </c>
      <c r="E47" s="4">
        <f>54.87 * CHOOSE(CONTROL!$C$9, $C$13, 100%, $E$13) + CHOOSE(CONTROL!$C$28, 0, 0)</f>
        <v>54.87</v>
      </c>
    </row>
    <row r="48" spans="1:5" ht="15">
      <c r="A48" s="13">
        <v>42948</v>
      </c>
      <c r="B48" s="4">
        <f>8.9281 * CHOOSE(CONTROL!$C$9, $C$13, 100%, $E$13) + CHOOSE(CONTROL!$C$28, 0.0311, 0)</f>
        <v>8.9592000000000009</v>
      </c>
      <c r="C48" s="4">
        <f>8.5648 * CHOOSE(CONTROL!$C$9, $C$13, 100%, $E$13) + CHOOSE(CONTROL!$C$28, 0.0311, 0)</f>
        <v>8.5959000000000003</v>
      </c>
      <c r="D48" s="4">
        <f>14.7054 * CHOOSE(CONTROL!$C$9, $C$13, 100%, $E$13) + CHOOSE(CONTROL!$C$28, 0, 0)</f>
        <v>14.705399999999999</v>
      </c>
      <c r="E48" s="4">
        <f>55.14 * CHOOSE(CONTROL!$C$9, $C$13, 100%, $E$13) + CHOOSE(CONTROL!$C$28, 0, 0)</f>
        <v>55.14</v>
      </c>
    </row>
    <row r="49" spans="1:5" ht="15">
      <c r="A49" s="13">
        <v>42979</v>
      </c>
      <c r="B49" s="4">
        <f>8.9844 * CHOOSE(CONTROL!$C$9, $C$13, 100%, $E$13) + CHOOSE(CONTROL!$C$28, 0.0311, 0)</f>
        <v>9.0155000000000012</v>
      </c>
      <c r="C49" s="4">
        <f>8.6211 * CHOOSE(CONTROL!$C$9, $C$13, 100%, $E$13) + CHOOSE(CONTROL!$C$28, 0.0311, 0)</f>
        <v>8.6522000000000006</v>
      </c>
      <c r="D49" s="4">
        <f>14.7882 * CHOOSE(CONTROL!$C$9, $C$13, 100%, $E$13) + CHOOSE(CONTROL!$C$28, 0, 0)</f>
        <v>14.7882</v>
      </c>
      <c r="E49" s="4">
        <f>55.42 * CHOOSE(CONTROL!$C$9, $C$13, 100%, $E$13) + CHOOSE(CONTROL!$C$28, 0, 0)</f>
        <v>55.42</v>
      </c>
    </row>
    <row r="50" spans="1:5" ht="15">
      <c r="A50" s="13">
        <v>43009</v>
      </c>
      <c r="B50" s="4">
        <f>9.0391 * CHOOSE(CONTROL!$C$9, $C$13, 100%, $E$13) + CHOOSE(CONTROL!$C$28, 0.0003, 0)</f>
        <v>9.0393999999999988</v>
      </c>
      <c r="C50" s="4">
        <f>8.6758 * CHOOSE(CONTROL!$C$9, $C$13, 100%, $E$13) + CHOOSE(CONTROL!$C$28, 0.0003, 0)</f>
        <v>8.6760999999999999</v>
      </c>
      <c r="D50" s="4">
        <f>14.8603 * CHOOSE(CONTROL!$C$9, $C$13, 100%, $E$13) + CHOOSE(CONTROL!$C$28, 0, 0)</f>
        <v>14.860300000000001</v>
      </c>
      <c r="E50" s="4">
        <f>55.71 * CHOOSE(CONTROL!$C$9, $C$13, 100%, $E$13) + CHOOSE(CONTROL!$C$28, 0, 0)</f>
        <v>55.71</v>
      </c>
    </row>
    <row r="51" spans="1:5" ht="15">
      <c r="A51" s="13">
        <v>43040</v>
      </c>
      <c r="B51" s="4">
        <f>9.0844 * CHOOSE(CONTROL!$C$9, $C$13, 100%, $E$13) + CHOOSE(CONTROL!$C$28, 0.0003, 0)</f>
        <v>9.0846999999999998</v>
      </c>
      <c r="C51" s="4">
        <f>8.7211 * CHOOSE(CONTROL!$C$9, $C$13, 100%, $E$13) + CHOOSE(CONTROL!$C$28, 0.0003, 0)</f>
        <v>8.7213999999999992</v>
      </c>
      <c r="D51" s="4">
        <f>14.9107 * CHOOSE(CONTROL!$C$9, $C$13, 100%, $E$13) + CHOOSE(CONTROL!$C$28, 0, 0)</f>
        <v>14.9107</v>
      </c>
      <c r="E51" s="4">
        <f>56 * CHOOSE(CONTROL!$C$9, $C$13, 100%, $E$13) + CHOOSE(CONTROL!$C$28, 0, 0)</f>
        <v>56</v>
      </c>
    </row>
    <row r="52" spans="1:5" ht="15">
      <c r="A52" s="13">
        <v>43070</v>
      </c>
      <c r="B52" s="4">
        <f>9.1328 * CHOOSE(CONTROL!$C$9, $C$13, 100%, $E$13) + CHOOSE(CONTROL!$C$28, 0.0003, 0)</f>
        <v>9.1330999999999989</v>
      </c>
      <c r="C52" s="4">
        <f>8.7695 * CHOOSE(CONTROL!$C$9, $C$13, 100%, $E$13) + CHOOSE(CONTROL!$C$28, 0.0003, 0)</f>
        <v>8.7698</v>
      </c>
      <c r="D52" s="4">
        <f>14.9539 * CHOOSE(CONTROL!$C$9, $C$13, 100%, $E$13) + CHOOSE(CONTROL!$C$28, 0, 0)</f>
        <v>14.953900000000001</v>
      </c>
      <c r="E52" s="4">
        <f>56.3 * CHOOSE(CONTROL!$C$9, $C$13, 100%, $E$13) + CHOOSE(CONTROL!$C$28, 0, 0)</f>
        <v>56.3</v>
      </c>
    </row>
    <row r="53" spans="1:5" ht="15">
      <c r="A53" s="13">
        <v>43101</v>
      </c>
      <c r="B53" s="4">
        <f>10.0691 * CHOOSE(CONTROL!$C$9, $C$13, 100%, $E$13) + CHOOSE(CONTROL!$C$28, 0.0003, 0)</f>
        <v>10.0694</v>
      </c>
      <c r="C53" s="4">
        <f>9.7058 * CHOOSE(CONTROL!$C$9, $C$13, 100%, $E$13) + CHOOSE(CONTROL!$C$28, 0.0003, 0)</f>
        <v>9.7060999999999993</v>
      </c>
      <c r="D53" s="4">
        <f>15.8538 * CHOOSE(CONTROL!$C$9, $C$13, 100%, $E$13) + CHOOSE(CONTROL!$C$28, 0, 0)</f>
        <v>15.8538</v>
      </c>
      <c r="E53" s="4">
        <f>62.700634382177 * CHOOSE(CONTROL!$C$9, $C$13, 100%, $E$13) + CHOOSE(CONTROL!$C$28, 0, 0)</f>
        <v>62.700634382177</v>
      </c>
    </row>
    <row r="54" spans="1:5" ht="15">
      <c r="A54" s="13">
        <v>43132</v>
      </c>
      <c r="B54" s="4">
        <f>10.2898 * CHOOSE(CONTROL!$C$9, $C$13, 100%, $E$13) + CHOOSE(CONTROL!$C$28, 0.0003, 0)</f>
        <v>10.290099999999999</v>
      </c>
      <c r="C54" s="4">
        <f>9.9265 * CHOOSE(CONTROL!$C$9, $C$13, 100%, $E$13) + CHOOSE(CONTROL!$C$28, 0.0003, 0)</f>
        <v>9.9268000000000001</v>
      </c>
      <c r="D54" s="4">
        <f>16.348 * CHOOSE(CONTROL!$C$9, $C$13, 100%, $E$13) + CHOOSE(CONTROL!$C$28, 0, 0)</f>
        <v>16.347999999999999</v>
      </c>
      <c r="E54" s="4">
        <f>64.1893945399319 * CHOOSE(CONTROL!$C$9, $C$13, 100%, $E$13) + CHOOSE(CONTROL!$C$28, 0, 0)</f>
        <v>64.189394539931897</v>
      </c>
    </row>
    <row r="55" spans="1:5" ht="15">
      <c r="A55" s="13">
        <v>43160</v>
      </c>
      <c r="B55" s="4">
        <f>10.8694 * CHOOSE(CONTROL!$C$9, $C$13, 100%, $E$13) + CHOOSE(CONTROL!$C$28, 0.0003, 0)</f>
        <v>10.8697</v>
      </c>
      <c r="C55" s="4">
        <f>10.5062 * CHOOSE(CONTROL!$C$9, $C$13, 100%, $E$13) + CHOOSE(CONTROL!$C$28, 0.0003, 0)</f>
        <v>10.506499999999999</v>
      </c>
      <c r="D55" s="4">
        <f>17.1216 * CHOOSE(CONTROL!$C$9, $C$13, 100%, $E$13) + CHOOSE(CONTROL!$C$28, 0, 0)</f>
        <v>17.121600000000001</v>
      </c>
      <c r="E55" s="4">
        <f>68.0989578317158 * CHOOSE(CONTROL!$C$9, $C$13, 100%, $E$13) + CHOOSE(CONTROL!$C$28, 0, 0)</f>
        <v>68.098957831715794</v>
      </c>
    </row>
    <row r="56" spans="1:5" ht="15">
      <c r="A56" s="13">
        <v>43191</v>
      </c>
      <c r="B56" s="4">
        <f>11.2813 * CHOOSE(CONTROL!$C$9, $C$13, 100%, $E$13) + CHOOSE(CONTROL!$C$28, 0.0003, 0)</f>
        <v>11.281599999999999</v>
      </c>
      <c r="C56" s="4">
        <f>10.918 * CHOOSE(CONTROL!$C$9, $C$13, 100%, $E$13) + CHOOSE(CONTROL!$C$28, 0.0003, 0)</f>
        <v>10.918299999999999</v>
      </c>
      <c r="D56" s="4">
        <f>17.5673 * CHOOSE(CONTROL!$C$9, $C$13, 100%, $E$13) + CHOOSE(CONTROL!$C$28, 0, 0)</f>
        <v>17.567299999999999</v>
      </c>
      <c r="E56" s="4">
        <f>70.8767546523096 * CHOOSE(CONTROL!$C$9, $C$13, 100%, $E$13) + CHOOSE(CONTROL!$C$28, 0, 0)</f>
        <v>70.8767546523096</v>
      </c>
    </row>
    <row r="57" spans="1:5" ht="15">
      <c r="A57" s="13">
        <v>43221</v>
      </c>
      <c r="B57" s="4">
        <f>11.5329 * CHOOSE(CONTROL!$C$9, $C$13, 100%, $E$13) + CHOOSE(CONTROL!$C$28, 0.0311, 0)</f>
        <v>11.564</v>
      </c>
      <c r="C57" s="4">
        <f>11.1696 * CHOOSE(CONTROL!$C$9, $C$13, 100%, $E$13) + CHOOSE(CONTROL!$C$28, 0.0311, 0)</f>
        <v>11.200700000000001</v>
      </c>
      <c r="D57" s="4">
        <f>17.3912 * CHOOSE(CONTROL!$C$9, $C$13, 100%, $E$13) + CHOOSE(CONTROL!$C$28, 0, 0)</f>
        <v>17.391200000000001</v>
      </c>
      <c r="E57" s="4">
        <f>72.5739219351941 * CHOOSE(CONTROL!$C$9, $C$13, 100%, $E$13) + CHOOSE(CONTROL!$C$28, 0, 0)</f>
        <v>72.573921935194093</v>
      </c>
    </row>
    <row r="58" spans="1:5" ht="15">
      <c r="A58" s="13">
        <v>43252</v>
      </c>
      <c r="B58" s="4">
        <f>11.5669 * CHOOSE(CONTROL!$C$9, $C$13, 100%, $E$13) + CHOOSE(CONTROL!$C$28, 0.0311, 0)</f>
        <v>11.598000000000001</v>
      </c>
      <c r="C58" s="4">
        <f>11.2036 * CHOOSE(CONTROL!$C$9, $C$13, 100%, $E$13) + CHOOSE(CONTROL!$C$28, 0.0311, 0)</f>
        <v>11.2347</v>
      </c>
      <c r="D58" s="4">
        <f>17.5346 * CHOOSE(CONTROL!$C$9, $C$13, 100%, $E$13) + CHOOSE(CONTROL!$C$28, 0, 0)</f>
        <v>17.534600000000001</v>
      </c>
      <c r="E58" s="4">
        <f>72.8035557119573 * CHOOSE(CONTROL!$C$9, $C$13, 100%, $E$13) + CHOOSE(CONTROL!$C$28, 0, 0)</f>
        <v>72.803555711957301</v>
      </c>
    </row>
    <row r="59" spans="1:5" ht="15">
      <c r="A59" s="13">
        <v>43282</v>
      </c>
      <c r="B59" s="4">
        <f>11.5635 * CHOOSE(CONTROL!$C$9, $C$13, 100%, $E$13) + CHOOSE(CONTROL!$C$28, 0.0311, 0)</f>
        <v>11.5946</v>
      </c>
      <c r="C59" s="4">
        <f>11.2002 * CHOOSE(CONTROL!$C$9, $C$13, 100%, $E$13) + CHOOSE(CONTROL!$C$28, 0.0311, 0)</f>
        <v>11.231300000000001</v>
      </c>
      <c r="D59" s="4">
        <f>17.7933 * CHOOSE(CONTROL!$C$9, $C$13, 100%, $E$13) + CHOOSE(CONTROL!$C$28, 0, 0)</f>
        <v>17.793299999999999</v>
      </c>
      <c r="E59" s="4">
        <f>72.7803993647207 * CHOOSE(CONTROL!$C$9, $C$13, 100%, $E$13) + CHOOSE(CONTROL!$C$28, 0, 0)</f>
        <v>72.780399364720694</v>
      </c>
    </row>
    <row r="60" spans="1:5" ht="15">
      <c r="A60" s="13">
        <v>43313</v>
      </c>
      <c r="B60" s="4">
        <f>11.8218 * CHOOSE(CONTROL!$C$9, $C$13, 100%, $E$13) + CHOOSE(CONTROL!$C$28, 0.0311, 0)</f>
        <v>11.8529</v>
      </c>
      <c r="C60" s="4">
        <f>11.4585 * CHOOSE(CONTROL!$C$9, $C$13, 100%, $E$13) + CHOOSE(CONTROL!$C$28, 0.0311, 0)</f>
        <v>11.489600000000001</v>
      </c>
      <c r="D60" s="4">
        <f>17.6224 * CHOOSE(CONTROL!$C$9, $C$13, 100%, $E$13) + CHOOSE(CONTROL!$C$28, 0, 0)</f>
        <v>17.622399999999999</v>
      </c>
      <c r="E60" s="4">
        <f>74.5229144942769 * CHOOSE(CONTROL!$C$9, $C$13, 100%, $E$13) + CHOOSE(CONTROL!$C$28, 0, 0)</f>
        <v>74.522914494276904</v>
      </c>
    </row>
    <row r="61" spans="1:5" ht="15">
      <c r="A61" s="13">
        <v>43344</v>
      </c>
      <c r="B61" s="4">
        <f>11.3815 * CHOOSE(CONTROL!$C$9, $C$13, 100%, $E$13) + CHOOSE(CONTROL!$C$28, 0.0311, 0)</f>
        <v>11.412600000000001</v>
      </c>
      <c r="C61" s="4">
        <f>11.0182 * CHOOSE(CONTROL!$C$9, $C$13, 100%, $E$13) + CHOOSE(CONTROL!$C$28, 0.0311, 0)</f>
        <v>11.049300000000001</v>
      </c>
      <c r="D61" s="4">
        <f>17.5417 * CHOOSE(CONTROL!$C$9, $C$13, 100%, $E$13) + CHOOSE(CONTROL!$C$28, 0, 0)</f>
        <v>17.541699999999999</v>
      </c>
      <c r="E61" s="4">
        <f>71.5531129611795 * CHOOSE(CONTROL!$C$9, $C$13, 100%, $E$13) + CHOOSE(CONTROL!$C$28, 0, 0)</f>
        <v>71.553112961179494</v>
      </c>
    </row>
    <row r="62" spans="1:5" ht="15">
      <c r="A62" s="13">
        <v>43374</v>
      </c>
      <c r="B62" s="4">
        <f>11.0291 * CHOOSE(CONTROL!$C$9, $C$13, 100%, $E$13) + CHOOSE(CONTROL!$C$28, 0.0003, 0)</f>
        <v>11.029399999999999</v>
      </c>
      <c r="C62" s="4">
        <f>10.6658 * CHOOSE(CONTROL!$C$9, $C$13, 100%, $E$13) + CHOOSE(CONTROL!$C$28, 0.0003, 0)</f>
        <v>10.6661</v>
      </c>
      <c r="D62" s="4">
        <f>17.3255 * CHOOSE(CONTROL!$C$9, $C$13, 100%, $E$13) + CHOOSE(CONTROL!$C$28, 0, 0)</f>
        <v>17.325500000000002</v>
      </c>
      <c r="E62" s="4">
        <f>69.175727978219 * CHOOSE(CONTROL!$C$9, $C$13, 100%, $E$13) + CHOOSE(CONTROL!$C$28, 0, 0)</f>
        <v>69.175727978219001</v>
      </c>
    </row>
    <row r="63" spans="1:5" ht="15">
      <c r="A63" s="13">
        <v>43405</v>
      </c>
      <c r="B63" s="4">
        <f>10.8021 * CHOOSE(CONTROL!$C$9, $C$13, 100%, $E$13) + CHOOSE(CONTROL!$C$28, 0.0003, 0)</f>
        <v>10.802399999999999</v>
      </c>
      <c r="C63" s="4">
        <f>10.4388 * CHOOSE(CONTROL!$C$9, $C$13, 100%, $E$13) + CHOOSE(CONTROL!$C$28, 0.0003, 0)</f>
        <v>10.4391</v>
      </c>
      <c r="D63" s="4">
        <f>17.2512 * CHOOSE(CONTROL!$C$9, $C$13, 100%, $E$13) + CHOOSE(CONTROL!$C$28, 0, 0)</f>
        <v>17.251200000000001</v>
      </c>
      <c r="E63" s="4">
        <f>67.644514517197 * CHOOSE(CONTROL!$C$9, $C$13, 100%, $E$13) + CHOOSE(CONTROL!$C$28, 0, 0)</f>
        <v>67.644514517196995</v>
      </c>
    </row>
    <row r="64" spans="1:5" ht="15">
      <c r="A64" s="13">
        <v>43435</v>
      </c>
      <c r="B64" s="4">
        <f>10.645 * CHOOSE(CONTROL!$C$9, $C$13, 100%, $E$13) + CHOOSE(CONTROL!$C$28, 0.0003, 0)</f>
        <v>10.645299999999999</v>
      </c>
      <c r="C64" s="4">
        <f>10.2817 * CHOOSE(CONTROL!$C$9, $C$13, 100%, $E$13) + CHOOSE(CONTROL!$C$28, 0.0003, 0)</f>
        <v>10.282</v>
      </c>
      <c r="D64" s="4">
        <f>16.704 * CHOOSE(CONTROL!$C$9, $C$13, 100%, $E$13) + CHOOSE(CONTROL!$C$28, 0, 0)</f>
        <v>16.704000000000001</v>
      </c>
      <c r="E64" s="4">
        <f>66.5851116311213 * CHOOSE(CONTROL!$C$9, $C$13, 100%, $E$13) + CHOOSE(CONTROL!$C$28, 0, 0)</f>
        <v>66.585111631121293</v>
      </c>
    </row>
    <row r="65" spans="1:5" ht="15">
      <c r="A65" s="13">
        <v>43466</v>
      </c>
      <c r="B65" s="4">
        <f>10.4965 * CHOOSE(CONTROL!$C$9, $C$13, 100%, $E$13) + CHOOSE(CONTROL!$C$28, 0.0003, 0)</f>
        <v>10.496799999999999</v>
      </c>
      <c r="C65" s="4">
        <f>10.1332 * CHOOSE(CONTROL!$C$9, $C$13, 100%, $E$13) + CHOOSE(CONTROL!$C$28, 0.0003, 0)</f>
        <v>10.1335</v>
      </c>
      <c r="D65" s="4">
        <f>16.3975 * CHOOSE(CONTROL!$C$9, $C$13, 100%, $E$13) + CHOOSE(CONTROL!$C$28, 0, 0)</f>
        <v>16.397500000000001</v>
      </c>
      <c r="E65" s="4">
        <f>65.7886323308853 * CHOOSE(CONTROL!$C$9, $C$13, 100%, $E$13) + CHOOSE(CONTROL!$C$28, 0, 0)</f>
        <v>65.788632330885306</v>
      </c>
    </row>
    <row r="66" spans="1:5" ht="15">
      <c r="A66" s="13">
        <v>43497</v>
      </c>
      <c r="B66" s="4">
        <f>10.7273 * CHOOSE(CONTROL!$C$9, $C$13, 100%, $E$13) + CHOOSE(CONTROL!$C$28, 0.0003, 0)</f>
        <v>10.727599999999999</v>
      </c>
      <c r="C66" s="4">
        <f>10.3641 * CHOOSE(CONTROL!$C$9, $C$13, 100%, $E$13) + CHOOSE(CONTROL!$C$28, 0.0003, 0)</f>
        <v>10.3644</v>
      </c>
      <c r="D66" s="4">
        <f>16.9109 * CHOOSE(CONTROL!$C$9, $C$13, 100%, $E$13) + CHOOSE(CONTROL!$C$28, 0, 0)</f>
        <v>16.910900000000002</v>
      </c>
      <c r="E66" s="4">
        <f>67.3507137294628 * CHOOSE(CONTROL!$C$9, $C$13, 100%, $E$13) + CHOOSE(CONTROL!$C$28, 0, 0)</f>
        <v>67.350713729462797</v>
      </c>
    </row>
    <row r="67" spans="1:5" ht="15">
      <c r="A67" s="13">
        <v>43525</v>
      </c>
      <c r="B67" s="4">
        <f>11.3336 * CHOOSE(CONTROL!$C$9, $C$13, 100%, $E$13) + CHOOSE(CONTROL!$C$28, 0.0003, 0)</f>
        <v>11.3339</v>
      </c>
      <c r="C67" s="4">
        <f>10.9703 * CHOOSE(CONTROL!$C$9, $C$13, 100%, $E$13) + CHOOSE(CONTROL!$C$28, 0.0003, 0)</f>
        <v>10.970599999999999</v>
      </c>
      <c r="D67" s="4">
        <f>17.7146 * CHOOSE(CONTROL!$C$9, $C$13, 100%, $E$13) + CHOOSE(CONTROL!$C$28, 0, 0)</f>
        <v>17.714600000000001</v>
      </c>
      <c r="E67" s="4">
        <f>71.4528224961743 * CHOOSE(CONTROL!$C$9, $C$13, 100%, $E$13) + CHOOSE(CONTROL!$C$28, 0, 0)</f>
        <v>71.452822496174306</v>
      </c>
    </row>
    <row r="68" spans="1:5" ht="15">
      <c r="A68" s="13">
        <v>43556</v>
      </c>
      <c r="B68" s="4">
        <f>11.7644 * CHOOSE(CONTROL!$C$9, $C$13, 100%, $E$13) + CHOOSE(CONTROL!$C$28, 0.0003, 0)</f>
        <v>11.764699999999999</v>
      </c>
      <c r="C68" s="4">
        <f>11.4011 * CHOOSE(CONTROL!$C$9, $C$13, 100%, $E$13) + CHOOSE(CONTROL!$C$28, 0.0003, 0)</f>
        <v>11.401399999999999</v>
      </c>
      <c r="D68" s="4">
        <f>18.1775 * CHOOSE(CONTROL!$C$9, $C$13, 100%, $E$13) + CHOOSE(CONTROL!$C$28, 0, 0)</f>
        <v>18.177499999999998</v>
      </c>
      <c r="E68" s="4">
        <f>74.3674254427099 * CHOOSE(CONTROL!$C$9, $C$13, 100%, $E$13) + CHOOSE(CONTROL!$C$28, 0, 0)</f>
        <v>74.367425442709902</v>
      </c>
    </row>
    <row r="69" spans="1:5" ht="15">
      <c r="A69" s="13">
        <v>43586</v>
      </c>
      <c r="B69" s="4">
        <f>12.0275 * CHOOSE(CONTROL!$C$9, $C$13, 100%, $E$13) + CHOOSE(CONTROL!$C$28, 0.0311, 0)</f>
        <v>12.0586</v>
      </c>
      <c r="C69" s="4">
        <f>11.6643 * CHOOSE(CONTROL!$C$9, $C$13, 100%, $E$13) + CHOOSE(CONTROL!$C$28, 0.0311, 0)</f>
        <v>11.695400000000001</v>
      </c>
      <c r="D69" s="4">
        <f>17.9946 * CHOOSE(CONTROL!$C$9, $C$13, 100%, $E$13) + CHOOSE(CONTROL!$C$28, 0, 0)</f>
        <v>17.994599999999998</v>
      </c>
      <c r="E69" s="4">
        <f>76.1481779897596 * CHOOSE(CONTROL!$C$9, $C$13, 100%, $E$13) + CHOOSE(CONTROL!$C$28, 0, 0)</f>
        <v>76.148177989759603</v>
      </c>
    </row>
    <row r="70" spans="1:5" ht="15">
      <c r="A70" s="13">
        <v>43617</v>
      </c>
      <c r="B70" s="4">
        <f>12.0631 * CHOOSE(CONTROL!$C$9, $C$13, 100%, $E$13) + CHOOSE(CONTROL!$C$28, 0.0311, 0)</f>
        <v>12.094200000000001</v>
      </c>
      <c r="C70" s="4">
        <f>11.6999 * CHOOSE(CONTROL!$C$9, $C$13, 100%, $E$13) + CHOOSE(CONTROL!$C$28, 0.0311, 0)</f>
        <v>11.731</v>
      </c>
      <c r="D70" s="4">
        <f>18.1436 * CHOOSE(CONTROL!$C$9, $C$13, 100%, $E$13) + CHOOSE(CONTROL!$C$28, 0, 0)</f>
        <v>18.143599999999999</v>
      </c>
      <c r="E70" s="4">
        <f>76.3891211996504 * CHOOSE(CONTROL!$C$9, $C$13, 100%, $E$13) + CHOOSE(CONTROL!$C$28, 0, 0)</f>
        <v>76.389121199650404</v>
      </c>
    </row>
    <row r="71" spans="1:5" ht="15">
      <c r="A71" s="13">
        <v>43647</v>
      </c>
      <c r="B71" s="4">
        <f>12.0596 * CHOOSE(CONTROL!$C$9, $C$13, 100%, $E$13) + CHOOSE(CONTROL!$C$28, 0.0311, 0)</f>
        <v>12.0907</v>
      </c>
      <c r="C71" s="4">
        <f>11.6963 * CHOOSE(CONTROL!$C$9, $C$13, 100%, $E$13) + CHOOSE(CONTROL!$C$28, 0.0311, 0)</f>
        <v>11.727400000000001</v>
      </c>
      <c r="D71" s="4">
        <f>18.4124 * CHOOSE(CONTROL!$C$9, $C$13, 100%, $E$13) + CHOOSE(CONTROL!$C$28, 0, 0)</f>
        <v>18.412400000000002</v>
      </c>
      <c r="E71" s="4">
        <f>76.3648244053757 * CHOOSE(CONTROL!$C$9, $C$13, 100%, $E$13) + CHOOSE(CONTROL!$C$28, 0, 0)</f>
        <v>76.3648244053757</v>
      </c>
    </row>
    <row r="72" spans="1:5" ht="15">
      <c r="A72" s="13">
        <v>43678</v>
      </c>
      <c r="B72" s="4">
        <f>12.3298 * CHOOSE(CONTROL!$C$9, $C$13, 100%, $E$13) + CHOOSE(CONTROL!$C$28, 0.0311, 0)</f>
        <v>12.360900000000001</v>
      </c>
      <c r="C72" s="4">
        <f>11.9665 * CHOOSE(CONTROL!$C$9, $C$13, 100%, $E$13) + CHOOSE(CONTROL!$C$28, 0.0311, 0)</f>
        <v>11.9976</v>
      </c>
      <c r="D72" s="4">
        <f>18.2348 * CHOOSE(CONTROL!$C$9, $C$13, 100%, $E$13) + CHOOSE(CONTROL!$C$28, 0, 0)</f>
        <v>18.2348</v>
      </c>
      <c r="E72" s="4">
        <f>78.1931581745467 * CHOOSE(CONTROL!$C$9, $C$13, 100%, $E$13) + CHOOSE(CONTROL!$C$28, 0, 0)</f>
        <v>78.193158174546696</v>
      </c>
    </row>
    <row r="73" spans="1:5" ht="15">
      <c r="A73" s="13">
        <v>43709</v>
      </c>
      <c r="B73" s="4">
        <f>11.8692 * CHOOSE(CONTROL!$C$9, $C$13, 100%, $E$13) + CHOOSE(CONTROL!$C$28, 0.0311, 0)</f>
        <v>11.9003</v>
      </c>
      <c r="C73" s="4">
        <f>11.506 * CHOOSE(CONTROL!$C$9, $C$13, 100%, $E$13) + CHOOSE(CONTROL!$C$28, 0.0311, 0)</f>
        <v>11.537100000000001</v>
      </c>
      <c r="D73" s="4">
        <f>18.151 * CHOOSE(CONTROL!$C$9, $C$13, 100%, $E$13) + CHOOSE(CONTROL!$C$28, 0, 0)</f>
        <v>18.151</v>
      </c>
      <c r="E73" s="4">
        <f>75.0770943088167 * CHOOSE(CONTROL!$C$9, $C$13, 100%, $E$13) + CHOOSE(CONTROL!$C$28, 0, 0)</f>
        <v>75.077094308816697</v>
      </c>
    </row>
    <row r="74" spans="1:5" ht="15">
      <c r="A74" s="13">
        <v>43739</v>
      </c>
      <c r="B74" s="4">
        <f>11.5006 * CHOOSE(CONTROL!$C$9, $C$13, 100%, $E$13) + CHOOSE(CONTROL!$C$28, 0.0003, 0)</f>
        <v>11.5009</v>
      </c>
      <c r="C74" s="4">
        <f>11.1373 * CHOOSE(CONTROL!$C$9, $C$13, 100%, $E$13) + CHOOSE(CONTROL!$C$28, 0.0003, 0)</f>
        <v>11.137599999999999</v>
      </c>
      <c r="D74" s="4">
        <f>17.9264 * CHOOSE(CONTROL!$C$9, $C$13, 100%, $E$13) + CHOOSE(CONTROL!$C$28, 0, 0)</f>
        <v>17.926400000000001</v>
      </c>
      <c r="E74" s="4">
        <f>72.5826234299477 * CHOOSE(CONTROL!$C$9, $C$13, 100%, $E$13) + CHOOSE(CONTROL!$C$28, 0, 0)</f>
        <v>72.582623429947702</v>
      </c>
    </row>
    <row r="75" spans="1:5" ht="15">
      <c r="A75" s="13">
        <v>43770</v>
      </c>
      <c r="B75" s="4">
        <f>11.2631 * CHOOSE(CONTROL!$C$9, $C$13, 100%, $E$13) + CHOOSE(CONTROL!$C$28, 0.0003, 0)</f>
        <v>11.263399999999999</v>
      </c>
      <c r="C75" s="4">
        <f>10.8998 * CHOOSE(CONTROL!$C$9, $C$13, 100%, $E$13) + CHOOSE(CONTROL!$C$28, 0.0003, 0)</f>
        <v>10.9001</v>
      </c>
      <c r="D75" s="4">
        <f>17.8492 * CHOOSE(CONTROL!$C$9, $C$13, 100%, $E$13) + CHOOSE(CONTROL!$C$28, 0, 0)</f>
        <v>17.8492</v>
      </c>
      <c r="E75" s="4">
        <f>70.9759979085333 * CHOOSE(CONTROL!$C$9, $C$13, 100%, $E$13) + CHOOSE(CONTROL!$C$28, 0, 0)</f>
        <v>70.975997908533301</v>
      </c>
    </row>
    <row r="76" spans="1:5" ht="15">
      <c r="A76" s="13">
        <v>43800</v>
      </c>
      <c r="B76" s="4">
        <f>11.0988 * CHOOSE(CONTROL!$C$9, $C$13, 100%, $E$13) + CHOOSE(CONTROL!$C$28, 0.0003, 0)</f>
        <v>11.0991</v>
      </c>
      <c r="C76" s="4">
        <f>10.7356 * CHOOSE(CONTROL!$C$9, $C$13, 100%, $E$13) + CHOOSE(CONTROL!$C$28, 0.0003, 0)</f>
        <v>10.735899999999999</v>
      </c>
      <c r="D76" s="4">
        <f>17.2807 * CHOOSE(CONTROL!$C$9, $C$13, 100%, $E$13) + CHOOSE(CONTROL!$C$28, 0, 0)</f>
        <v>17.2807</v>
      </c>
      <c r="E76" s="4">
        <f>69.8644195704659 * CHOOSE(CONTROL!$C$9, $C$13, 100%, $E$13) + CHOOSE(CONTROL!$C$28, 0, 0)</f>
        <v>69.864419570465898</v>
      </c>
    </row>
    <row r="77" spans="1:5" ht="15">
      <c r="A77" s="13">
        <v>43831</v>
      </c>
      <c r="B77" s="4">
        <f>12.8082 * CHOOSE(CONTROL!$C$9, $C$13, 100%, $E$13) + CHOOSE(CONTROL!$C$28, 0.0003, 0)</f>
        <v>12.808499999999999</v>
      </c>
      <c r="C77" s="4">
        <f>12.4449 * CHOOSE(CONTROL!$C$9, $C$13, 100%, $E$13) + CHOOSE(CONTROL!$C$28, 0.0003, 0)</f>
        <v>12.4452</v>
      </c>
      <c r="D77" s="4">
        <f>19.2397 * CHOOSE(CONTROL!$C$9, $C$13, 100%, $E$13) + CHOOSE(CONTROL!$C$28, 0, 0)</f>
        <v>19.239699999999999</v>
      </c>
      <c r="E77" s="4">
        <f>82.0078688574678 * CHOOSE(CONTROL!$C$9, $C$13, 100%, $E$13) + CHOOSE(CONTROL!$C$28, 0, 0)</f>
        <v>82.007868857467798</v>
      </c>
    </row>
    <row r="78" spans="1:5" ht="15">
      <c r="A78" s="13">
        <v>43862</v>
      </c>
      <c r="B78" s="4">
        <f>13.0939 * CHOOSE(CONTROL!$C$9, $C$13, 100%, $E$13) + CHOOSE(CONTROL!$C$28, 0.0003, 0)</f>
        <v>13.094199999999999</v>
      </c>
      <c r="C78" s="4">
        <f>12.7307 * CHOOSE(CONTROL!$C$9, $C$13, 100%, $E$13) + CHOOSE(CONTROL!$C$28, 0.0003, 0)</f>
        <v>12.731</v>
      </c>
      <c r="D78" s="4">
        <f>19.8534 * CHOOSE(CONTROL!$C$9, $C$13, 100%, $E$13) + CHOOSE(CONTROL!$C$28, 0, 0)</f>
        <v>19.853400000000001</v>
      </c>
      <c r="E78" s="4">
        <f>83.9550588497287 * CHOOSE(CONTROL!$C$9, $C$13, 100%, $E$13) + CHOOSE(CONTROL!$C$28, 0, 0)</f>
        <v>83.955058849728701</v>
      </c>
    </row>
    <row r="79" spans="1:5" ht="15">
      <c r="A79" s="13">
        <v>43891</v>
      </c>
      <c r="B79" s="4">
        <f>13.8443 * CHOOSE(CONTROL!$C$9, $C$13, 100%, $E$13) + CHOOSE(CONTROL!$C$28, 0.0003, 0)</f>
        <v>13.8446</v>
      </c>
      <c r="C79" s="4">
        <f>13.4811 * CHOOSE(CONTROL!$C$9, $C$13, 100%, $E$13) + CHOOSE(CONTROL!$C$28, 0.0003, 0)</f>
        <v>13.481399999999999</v>
      </c>
      <c r="D79" s="4">
        <f>20.814 * CHOOSE(CONTROL!$C$9, $C$13, 100%, $E$13) + CHOOSE(CONTROL!$C$28, 0, 0)</f>
        <v>20.814</v>
      </c>
      <c r="E79" s="4">
        <f>89.0684832493664 * CHOOSE(CONTROL!$C$9, $C$13, 100%, $E$13) + CHOOSE(CONTROL!$C$28, 0, 0)</f>
        <v>89.068483249366395</v>
      </c>
    </row>
    <row r="80" spans="1:5" ht="15">
      <c r="A80" s="13">
        <v>43922</v>
      </c>
      <c r="B80" s="4">
        <f>14.3775 * CHOOSE(CONTROL!$C$9, $C$13, 100%, $E$13) + CHOOSE(CONTROL!$C$28, 0.0003, 0)</f>
        <v>14.377799999999999</v>
      </c>
      <c r="C80" s="4">
        <f>14.0142 * CHOOSE(CONTROL!$C$9, $C$13, 100%, $E$13) + CHOOSE(CONTROL!$C$28, 0.0003, 0)</f>
        <v>14.0145</v>
      </c>
      <c r="D80" s="4">
        <f>21.3674 * CHOOSE(CONTROL!$C$9, $C$13, 100%, $E$13) + CHOOSE(CONTROL!$C$28, 0, 0)</f>
        <v>21.3674</v>
      </c>
      <c r="E80" s="4">
        <f>92.7016394306491 * CHOOSE(CONTROL!$C$9, $C$13, 100%, $E$13) + CHOOSE(CONTROL!$C$28, 0, 0)</f>
        <v>92.701639430649095</v>
      </c>
    </row>
    <row r="81" spans="1:5" ht="15">
      <c r="A81" s="13">
        <v>43952</v>
      </c>
      <c r="B81" s="4">
        <f>14.7033 * CHOOSE(CONTROL!$C$9, $C$13, 100%, $E$13) + CHOOSE(CONTROL!$C$28, 0.0311, 0)</f>
        <v>14.734400000000001</v>
      </c>
      <c r="C81" s="4">
        <f>14.34 * CHOOSE(CONTROL!$C$9, $C$13, 100%, $E$13) + CHOOSE(CONTROL!$C$28, 0.0311, 0)</f>
        <v>14.3711</v>
      </c>
      <c r="D81" s="4">
        <f>21.1487 * CHOOSE(CONTROL!$C$9, $C$13, 100%, $E$13) + CHOOSE(CONTROL!$C$28, 0, 0)</f>
        <v>21.148700000000002</v>
      </c>
      <c r="E81" s="4">
        <f>94.9214107828116 * CHOOSE(CONTROL!$C$9, $C$13, 100%, $E$13) + CHOOSE(CONTROL!$C$28, 0, 0)</f>
        <v>94.921410782811606</v>
      </c>
    </row>
    <row r="82" spans="1:5" ht="15">
      <c r="A82" s="13">
        <v>43983</v>
      </c>
      <c r="B82" s="4">
        <f>14.7473 * CHOOSE(CONTROL!$C$9, $C$13, 100%, $E$13) + CHOOSE(CONTROL!$C$28, 0.0311, 0)</f>
        <v>14.7784</v>
      </c>
      <c r="C82" s="4">
        <f>14.3841 * CHOOSE(CONTROL!$C$9, $C$13, 100%, $E$13) + CHOOSE(CONTROL!$C$28, 0.0311, 0)</f>
        <v>14.4152</v>
      </c>
      <c r="D82" s="4">
        <f>21.3268 * CHOOSE(CONTROL!$C$9, $C$13, 100%, $E$13) + CHOOSE(CONTROL!$C$28, 0, 0)</f>
        <v>21.326799999999999</v>
      </c>
      <c r="E82" s="4">
        <f>95.2217550589996 * CHOOSE(CONTROL!$C$9, $C$13, 100%, $E$13) + CHOOSE(CONTROL!$C$28, 0, 0)</f>
        <v>95.221755058999605</v>
      </c>
    </row>
    <row r="83" spans="1:5" ht="15">
      <c r="A83" s="13">
        <v>44013</v>
      </c>
      <c r="B83" s="4">
        <f>14.7429 * CHOOSE(CONTROL!$C$9, $C$13, 100%, $E$13) + CHOOSE(CONTROL!$C$28, 0.0311, 0)</f>
        <v>14.774000000000001</v>
      </c>
      <c r="C83" s="4">
        <f>14.3796 * CHOOSE(CONTROL!$C$9, $C$13, 100%, $E$13) + CHOOSE(CONTROL!$C$28, 0.0311, 0)</f>
        <v>14.4107</v>
      </c>
      <c r="D83" s="4">
        <f>21.6482 * CHOOSE(CONTROL!$C$9, $C$13, 100%, $E$13) + CHOOSE(CONTROL!$C$28, 0, 0)</f>
        <v>21.648199999999999</v>
      </c>
      <c r="E83" s="4">
        <f>95.1914682412328 * CHOOSE(CONTROL!$C$9, $C$13, 100%, $E$13) + CHOOSE(CONTROL!$C$28, 0, 0)</f>
        <v>95.191468241232798</v>
      </c>
    </row>
    <row r="84" spans="1:5" ht="15">
      <c r="A84" s="13">
        <v>44044</v>
      </c>
      <c r="B84" s="4">
        <f>15.0774 * CHOOSE(CONTROL!$C$9, $C$13, 100%, $E$13) + CHOOSE(CONTROL!$C$28, 0.0311, 0)</f>
        <v>15.108500000000001</v>
      </c>
      <c r="C84" s="4">
        <f>14.7141 * CHOOSE(CONTROL!$C$9, $C$13, 100%, $E$13) + CHOOSE(CONTROL!$C$28, 0.0311, 0)</f>
        <v>14.745200000000001</v>
      </c>
      <c r="D84" s="4">
        <f>21.436 * CHOOSE(CONTROL!$C$9, $C$13, 100%, $E$13) + CHOOSE(CONTROL!$C$28, 0, 0)</f>
        <v>21.436</v>
      </c>
      <c r="E84" s="4">
        <f>97.4705512781888 * CHOOSE(CONTROL!$C$9, $C$13, 100%, $E$13) + CHOOSE(CONTROL!$C$28, 0, 0)</f>
        <v>97.470551278188793</v>
      </c>
    </row>
    <row r="85" spans="1:5" ht="15">
      <c r="A85" s="13">
        <v>44075</v>
      </c>
      <c r="B85" s="4">
        <f>14.5073 * CHOOSE(CONTROL!$C$9, $C$13, 100%, $E$13) + CHOOSE(CONTROL!$C$28, 0.0311, 0)</f>
        <v>14.538400000000001</v>
      </c>
      <c r="C85" s="4">
        <f>14.144 * CHOOSE(CONTROL!$C$9, $C$13, 100%, $E$13) + CHOOSE(CONTROL!$C$28, 0.0311, 0)</f>
        <v>14.1751</v>
      </c>
      <c r="D85" s="4">
        <f>21.3357 * CHOOSE(CONTROL!$C$9, $C$13, 100%, $E$13) + CHOOSE(CONTROL!$C$28, 0, 0)</f>
        <v>21.335699999999999</v>
      </c>
      <c r="E85" s="4">
        <f>93.5862668995893 * CHOOSE(CONTROL!$C$9, $C$13, 100%, $E$13) + CHOOSE(CONTROL!$C$28, 0, 0)</f>
        <v>93.586266899589305</v>
      </c>
    </row>
    <row r="86" spans="1:5" ht="15">
      <c r="A86" s="13">
        <v>44105</v>
      </c>
      <c r="B86" s="4">
        <f>14.051 * CHOOSE(CONTROL!$C$9, $C$13, 100%, $E$13) + CHOOSE(CONTROL!$C$28, 0.0003, 0)</f>
        <v>14.051299999999999</v>
      </c>
      <c r="C86" s="4">
        <f>13.6877 * CHOOSE(CONTROL!$C$9, $C$13, 100%, $E$13) + CHOOSE(CONTROL!$C$28, 0.0003, 0)</f>
        <v>13.687999999999999</v>
      </c>
      <c r="D86" s="4">
        <f>21.0672 * CHOOSE(CONTROL!$C$9, $C$13, 100%, $E$13) + CHOOSE(CONTROL!$C$28, 0, 0)</f>
        <v>21.0672</v>
      </c>
      <c r="E86" s="4">
        <f>90.4768202755253 * CHOOSE(CONTROL!$C$9, $C$13, 100%, $E$13) + CHOOSE(CONTROL!$C$28, 0, 0)</f>
        <v>90.476820275525299</v>
      </c>
    </row>
    <row r="87" spans="1:5" ht="15">
      <c r="A87" s="13">
        <v>44136</v>
      </c>
      <c r="B87" s="4">
        <f>13.7571 * CHOOSE(CONTROL!$C$9, $C$13, 100%, $E$13) + CHOOSE(CONTROL!$C$28, 0.0003, 0)</f>
        <v>13.757399999999999</v>
      </c>
      <c r="C87" s="4">
        <f>13.3938 * CHOOSE(CONTROL!$C$9, $C$13, 100%, $E$13) + CHOOSE(CONTROL!$C$28, 0.0003, 0)</f>
        <v>13.3941</v>
      </c>
      <c r="D87" s="4">
        <f>20.9749 * CHOOSE(CONTROL!$C$9, $C$13, 100%, $E$13) + CHOOSE(CONTROL!$C$28, 0, 0)</f>
        <v>20.974900000000002</v>
      </c>
      <c r="E87" s="4">
        <f>88.4741044506919 * CHOOSE(CONTROL!$C$9, $C$13, 100%, $E$13) + CHOOSE(CONTROL!$C$28, 0, 0)</f>
        <v>88.474104450691897</v>
      </c>
    </row>
    <row r="88" spans="1:5" ht="15">
      <c r="A88" s="13">
        <v>44166</v>
      </c>
      <c r="B88" s="4">
        <f>13.5538 * CHOOSE(CONTROL!$C$9, $C$13, 100%, $E$13) + CHOOSE(CONTROL!$C$28, 0.0003, 0)</f>
        <v>13.5541</v>
      </c>
      <c r="C88" s="4">
        <f>13.1905 * CHOOSE(CONTROL!$C$9, $C$13, 100%, $E$13) + CHOOSE(CONTROL!$C$28, 0.0003, 0)</f>
        <v>13.190799999999999</v>
      </c>
      <c r="D88" s="4">
        <f>20.2954 * CHOOSE(CONTROL!$C$9, $C$13, 100%, $E$13) + CHOOSE(CONTROL!$C$28, 0, 0)</f>
        <v>20.295400000000001</v>
      </c>
      <c r="E88" s="4">
        <f>87.0884825378581 * CHOOSE(CONTROL!$C$9, $C$13, 100%, $E$13) + CHOOSE(CONTROL!$C$28, 0, 0)</f>
        <v>87.088482537858098</v>
      </c>
    </row>
    <row r="89" spans="1:5" ht="15">
      <c r="A89" s="13">
        <v>44197</v>
      </c>
      <c r="B89" s="4">
        <f>13.3859 * CHOOSE(CONTROL!$C$9, $C$13, 100%, $E$13) + CHOOSE(CONTROL!$C$28, 0.0003, 0)</f>
        <v>13.386199999999999</v>
      </c>
      <c r="C89" s="4">
        <f>13.0226 * CHOOSE(CONTROL!$C$9, $C$13, 100%, $E$13) + CHOOSE(CONTROL!$C$28, 0.0003, 0)</f>
        <v>13.0229</v>
      </c>
      <c r="D89" s="4">
        <f>20.0158 * CHOOSE(CONTROL!$C$9, $C$13, 100%, $E$13) + CHOOSE(CONTROL!$C$28, 0, 0)</f>
        <v>20.015799999999999</v>
      </c>
      <c r="E89" s="4">
        <f>85.4125030956757 * CHOOSE(CONTROL!$C$9, $C$13, 100%, $E$13) + CHOOSE(CONTROL!$C$28, 0, 0)</f>
        <v>85.412503095675703</v>
      </c>
    </row>
    <row r="90" spans="1:5" ht="15">
      <c r="A90" s="13">
        <v>44228</v>
      </c>
      <c r="B90" s="4">
        <f>13.6854 * CHOOSE(CONTROL!$C$9, $C$13, 100%, $E$13) + CHOOSE(CONTROL!$C$28, 0.0003, 0)</f>
        <v>13.685699999999999</v>
      </c>
      <c r="C90" s="4">
        <f>13.3221 * CHOOSE(CONTROL!$C$9, $C$13, 100%, $E$13) + CHOOSE(CONTROL!$C$28, 0.0003, 0)</f>
        <v>13.3224</v>
      </c>
      <c r="D90" s="4">
        <f>20.6569 * CHOOSE(CONTROL!$C$9, $C$13, 100%, $E$13) + CHOOSE(CONTROL!$C$28, 0, 0)</f>
        <v>20.6569</v>
      </c>
      <c r="E90" s="4">
        <f>87.4405325221069 * CHOOSE(CONTROL!$C$9, $C$13, 100%, $E$13) + CHOOSE(CONTROL!$C$28, 0, 0)</f>
        <v>87.440532522106906</v>
      </c>
    </row>
    <row r="91" spans="1:5" ht="15">
      <c r="A91" s="13">
        <v>44256</v>
      </c>
      <c r="B91" s="4">
        <f>14.4718 * CHOOSE(CONTROL!$C$9, $C$13, 100%, $E$13) + CHOOSE(CONTROL!$C$28, 0.0003, 0)</f>
        <v>14.472099999999999</v>
      </c>
      <c r="C91" s="4">
        <f>14.1085 * CHOOSE(CONTROL!$C$9, $C$13, 100%, $E$13) + CHOOSE(CONTROL!$C$28, 0.0003, 0)</f>
        <v>14.108799999999999</v>
      </c>
      <c r="D91" s="4">
        <f>21.6605 * CHOOSE(CONTROL!$C$9, $C$13, 100%, $E$13) + CHOOSE(CONTROL!$C$28, 0, 0)</f>
        <v>21.660499999999999</v>
      </c>
      <c r="E91" s="4">
        <f>92.7662455719442 * CHOOSE(CONTROL!$C$9, $C$13, 100%, $E$13) + CHOOSE(CONTROL!$C$28, 0, 0)</f>
        <v>92.766245571944197</v>
      </c>
    </row>
    <row r="92" spans="1:5" ht="15">
      <c r="A92" s="13">
        <v>44287</v>
      </c>
      <c r="B92" s="4">
        <f>15.0305 * CHOOSE(CONTROL!$C$9, $C$13, 100%, $E$13) + CHOOSE(CONTROL!$C$28, 0.0003, 0)</f>
        <v>15.030799999999999</v>
      </c>
      <c r="C92" s="4">
        <f>14.6673 * CHOOSE(CONTROL!$C$9, $C$13, 100%, $E$13) + CHOOSE(CONTROL!$C$28, 0.0003, 0)</f>
        <v>14.667599999999998</v>
      </c>
      <c r="D92" s="4">
        <f>22.2385 * CHOOSE(CONTROL!$C$9, $C$13, 100%, $E$13) + CHOOSE(CONTROL!$C$28, 0, 0)</f>
        <v>22.238499999999998</v>
      </c>
      <c r="E92" s="4">
        <f>96.5502356683118 * CHOOSE(CONTROL!$C$9, $C$13, 100%, $E$13) + CHOOSE(CONTROL!$C$28, 0, 0)</f>
        <v>96.550235668311799</v>
      </c>
    </row>
    <row r="93" spans="1:5" ht="15">
      <c r="A93" s="13">
        <v>44317</v>
      </c>
      <c r="B93" s="4">
        <f>15.3719 * CHOOSE(CONTROL!$C$9, $C$13, 100%, $E$13) + CHOOSE(CONTROL!$C$28, 0.0311, 0)</f>
        <v>15.403</v>
      </c>
      <c r="C93" s="4">
        <f>15.0087 * CHOOSE(CONTROL!$C$9, $C$13, 100%, $E$13) + CHOOSE(CONTROL!$C$28, 0.0311, 0)</f>
        <v>15.0398</v>
      </c>
      <c r="D93" s="4">
        <f>22.0101 * CHOOSE(CONTROL!$C$9, $C$13, 100%, $E$13) + CHOOSE(CONTROL!$C$28, 0, 0)</f>
        <v>22.010100000000001</v>
      </c>
      <c r="E93" s="4">
        <f>98.8621629276069 * CHOOSE(CONTROL!$C$9, $C$13, 100%, $E$13) + CHOOSE(CONTROL!$C$28, 0, 0)</f>
        <v>98.862162927606903</v>
      </c>
    </row>
    <row r="94" spans="1:5" ht="15">
      <c r="A94" s="13">
        <v>44348</v>
      </c>
      <c r="B94" s="4">
        <f>15.4181 * CHOOSE(CONTROL!$C$9, $C$13, 100%, $E$13) + CHOOSE(CONTROL!$C$28, 0.0311, 0)</f>
        <v>15.449200000000001</v>
      </c>
      <c r="C94" s="4">
        <f>15.0549 * CHOOSE(CONTROL!$C$9, $C$13, 100%, $E$13) + CHOOSE(CONTROL!$C$28, 0.0311, 0)</f>
        <v>15.086</v>
      </c>
      <c r="D94" s="4">
        <f>22.1961 * CHOOSE(CONTROL!$C$9, $C$13, 100%, $E$13) + CHOOSE(CONTROL!$C$28, 0, 0)</f>
        <v>22.196100000000001</v>
      </c>
      <c r="E94" s="4">
        <f>99.1749762804848 * CHOOSE(CONTROL!$C$9, $C$13, 100%, $E$13) + CHOOSE(CONTROL!$C$28, 0, 0)</f>
        <v>99.174976280484799</v>
      </c>
    </row>
    <row r="95" spans="1:5" ht="15">
      <c r="A95" s="13">
        <v>44378</v>
      </c>
      <c r="B95" s="4">
        <f>15.4135 * CHOOSE(CONTROL!$C$9, $C$13, 100%, $E$13) + CHOOSE(CONTROL!$C$28, 0.0311, 0)</f>
        <v>15.444600000000001</v>
      </c>
      <c r="C95" s="4">
        <f>15.0502 * CHOOSE(CONTROL!$C$9, $C$13, 100%, $E$13) + CHOOSE(CONTROL!$C$28, 0.0311, 0)</f>
        <v>15.081300000000001</v>
      </c>
      <c r="D95" s="4">
        <f>22.5318 * CHOOSE(CONTROL!$C$9, $C$13, 100%, $E$13) + CHOOSE(CONTROL!$C$28, 0, 0)</f>
        <v>22.5318</v>
      </c>
      <c r="E95" s="4">
        <f>99.1434320768333 * CHOOSE(CONTROL!$C$9, $C$13, 100%, $E$13) + CHOOSE(CONTROL!$C$28, 0, 0)</f>
        <v>99.143432076833307</v>
      </c>
    </row>
    <row r="96" spans="1:5" ht="15">
      <c r="A96" s="13">
        <v>44409</v>
      </c>
      <c r="B96" s="4">
        <f>15.764 * CHOOSE(CONTROL!$C$9, $C$13, 100%, $E$13) + CHOOSE(CONTROL!$C$28, 0.0311, 0)</f>
        <v>15.7951</v>
      </c>
      <c r="C96" s="4">
        <f>15.4007 * CHOOSE(CONTROL!$C$9, $C$13, 100%, $E$13) + CHOOSE(CONTROL!$C$28, 0.0311, 0)</f>
        <v>15.431800000000001</v>
      </c>
      <c r="D96" s="4">
        <f>22.3101 * CHOOSE(CONTROL!$C$9, $C$13, 100%, $E$13) + CHOOSE(CONTROL!$C$28, 0, 0)</f>
        <v>22.310099999999998</v>
      </c>
      <c r="E96" s="4">
        <f>101.517133401613 * CHOOSE(CONTROL!$C$9, $C$13, 100%, $E$13) + CHOOSE(CONTROL!$C$28, 0, 0)</f>
        <v>101.51713340161299</v>
      </c>
    </row>
    <row r="97" spans="1:5" ht="15">
      <c r="A97" s="13">
        <v>44440</v>
      </c>
      <c r="B97" s="4">
        <f>15.1666 * CHOOSE(CONTROL!$C$9, $C$13, 100%, $E$13) + CHOOSE(CONTROL!$C$28, 0.0311, 0)</f>
        <v>15.197700000000001</v>
      </c>
      <c r="C97" s="4">
        <f>14.8033 * CHOOSE(CONTROL!$C$9, $C$13, 100%, $E$13) + CHOOSE(CONTROL!$C$28, 0.0311, 0)</f>
        <v>14.8344</v>
      </c>
      <c r="D97" s="4">
        <f>22.2054 * CHOOSE(CONTROL!$C$9, $C$13, 100%, $E$13) + CHOOSE(CONTROL!$C$28, 0, 0)</f>
        <v>22.205400000000001</v>
      </c>
      <c r="E97" s="4">
        <f>97.471589283301 * CHOOSE(CONTROL!$C$9, $C$13, 100%, $E$13) + CHOOSE(CONTROL!$C$28, 0, 0)</f>
        <v>97.471589283301</v>
      </c>
    </row>
    <row r="98" spans="1:5" ht="15">
      <c r="A98" s="13">
        <v>44470</v>
      </c>
      <c r="B98" s="4">
        <f>14.6884 * CHOOSE(CONTROL!$C$9, $C$13, 100%, $E$13) + CHOOSE(CONTROL!$C$28, 0.0003, 0)</f>
        <v>14.688699999999999</v>
      </c>
      <c r="C98" s="4">
        <f>14.3251 * CHOOSE(CONTROL!$C$9, $C$13, 100%, $E$13) + CHOOSE(CONTROL!$C$28, 0.0003, 0)</f>
        <v>14.3254</v>
      </c>
      <c r="D98" s="4">
        <f>21.9249 * CHOOSE(CONTROL!$C$9, $C$13, 100%, $E$13) + CHOOSE(CONTROL!$C$28, 0, 0)</f>
        <v>21.924900000000001</v>
      </c>
      <c r="E98" s="4">
        <f>94.2330510417414 * CHOOSE(CONTROL!$C$9, $C$13, 100%, $E$13) + CHOOSE(CONTROL!$C$28, 0, 0)</f>
        <v>94.233051041741405</v>
      </c>
    </row>
    <row r="99" spans="1:5" ht="15">
      <c r="A99" s="13">
        <v>44501</v>
      </c>
      <c r="B99" s="4">
        <f>14.3804 * CHOOSE(CONTROL!$C$9, $C$13, 100%, $E$13) + CHOOSE(CONTROL!$C$28, 0.0003, 0)</f>
        <v>14.380699999999999</v>
      </c>
      <c r="C99" s="4">
        <f>14.0171 * CHOOSE(CONTROL!$C$9, $C$13, 100%, $E$13) + CHOOSE(CONTROL!$C$28, 0.0003, 0)</f>
        <v>14.017399999999999</v>
      </c>
      <c r="D99" s="4">
        <f>21.8285 * CHOOSE(CONTROL!$C$9, $C$13, 100%, $E$13) + CHOOSE(CONTROL!$C$28, 0, 0)</f>
        <v>21.828499999999998</v>
      </c>
      <c r="E99" s="4">
        <f>92.1471905752824 * CHOOSE(CONTROL!$C$9, $C$13, 100%, $E$13) + CHOOSE(CONTROL!$C$28, 0, 0)</f>
        <v>92.147190575282394</v>
      </c>
    </row>
    <row r="100" spans="1:5" ht="15">
      <c r="A100" s="13">
        <v>44531</v>
      </c>
      <c r="B100" s="4">
        <f>14.1673 * CHOOSE(CONTROL!$C$9, $C$13, 100%, $E$13) + CHOOSE(CONTROL!$C$28, 0.0003, 0)</f>
        <v>14.167599999999998</v>
      </c>
      <c r="C100" s="4">
        <f>13.804 * CHOOSE(CONTROL!$C$9, $C$13, 100%, $E$13) + CHOOSE(CONTROL!$C$28, 0.0003, 0)</f>
        <v>13.8043</v>
      </c>
      <c r="D100" s="4">
        <f>21.1187 * CHOOSE(CONTROL!$C$9, $C$13, 100%, $E$13) + CHOOSE(CONTROL!$C$28, 0, 0)</f>
        <v>21.1187</v>
      </c>
      <c r="E100" s="4">
        <f>90.7040432582239 * CHOOSE(CONTROL!$C$9, $C$13, 100%, $E$13) + CHOOSE(CONTROL!$C$28, 0, 0)</f>
        <v>90.704043258223905</v>
      </c>
    </row>
    <row r="101" spans="1:5" ht="15">
      <c r="A101" s="13">
        <v>44562</v>
      </c>
      <c r="B101" s="4">
        <f>14.0661 * CHOOSE(CONTROL!$C$9, $C$13, 100%, $E$13) + CHOOSE(CONTROL!$C$28, 0.0003, 0)</f>
        <v>14.0664</v>
      </c>
      <c r="C101" s="4">
        <f>13.7028 * CHOOSE(CONTROL!$C$9, $C$13, 100%, $E$13) + CHOOSE(CONTROL!$C$28, 0.0003, 0)</f>
        <v>13.703099999999999</v>
      </c>
      <c r="D101" s="4">
        <f>20.9947 * CHOOSE(CONTROL!$C$9, $C$13, 100%, $E$13) + CHOOSE(CONTROL!$C$28, 0, 0)</f>
        <v>20.994700000000002</v>
      </c>
      <c r="E101" s="4">
        <f>89.7194686098829 * CHOOSE(CONTROL!$C$9, $C$13, 100%, $E$13) + CHOOSE(CONTROL!$C$28, 0, 0)</f>
        <v>89.719468609882895</v>
      </c>
    </row>
    <row r="102" spans="1:5" ht="15">
      <c r="A102" s="13">
        <v>44593</v>
      </c>
      <c r="B102" s="4">
        <f>14.3817 * CHOOSE(CONTROL!$C$9, $C$13, 100%, $E$13) + CHOOSE(CONTROL!$C$28, 0.0003, 0)</f>
        <v>14.382</v>
      </c>
      <c r="C102" s="4">
        <f>14.0184 * CHOOSE(CONTROL!$C$9, $C$13, 100%, $E$13) + CHOOSE(CONTROL!$C$28, 0.0003, 0)</f>
        <v>14.018699999999999</v>
      </c>
      <c r="D102" s="4">
        <f>21.6704 * CHOOSE(CONTROL!$C$9, $C$13, 100%, $E$13) + CHOOSE(CONTROL!$C$28, 0, 0)</f>
        <v>21.670400000000001</v>
      </c>
      <c r="E102" s="4">
        <f>91.8497623709824 * CHOOSE(CONTROL!$C$9, $C$13, 100%, $E$13) + CHOOSE(CONTROL!$C$28, 0, 0)</f>
        <v>91.849762370982404</v>
      </c>
    </row>
    <row r="103" spans="1:5" ht="15">
      <c r="A103" s="13">
        <v>44621</v>
      </c>
      <c r="B103" s="4">
        <f>15.2105 * CHOOSE(CONTROL!$C$9, $C$13, 100%, $E$13) + CHOOSE(CONTROL!$C$28, 0.0003, 0)</f>
        <v>15.210799999999999</v>
      </c>
      <c r="C103" s="4">
        <f>14.8473 * CHOOSE(CONTROL!$C$9, $C$13, 100%, $E$13) + CHOOSE(CONTROL!$C$28, 0.0003, 0)</f>
        <v>14.8476</v>
      </c>
      <c r="D103" s="4">
        <f>22.728 * CHOOSE(CONTROL!$C$9, $C$13, 100%, $E$13) + CHOOSE(CONTROL!$C$28, 0, 0)</f>
        <v>22.728000000000002</v>
      </c>
      <c r="E103" s="4">
        <f>97.4440269983156 * CHOOSE(CONTROL!$C$9, $C$13, 100%, $E$13) + CHOOSE(CONTROL!$C$28, 0, 0)</f>
        <v>97.444026998315593</v>
      </c>
    </row>
    <row r="104" spans="1:5" ht="15">
      <c r="A104" s="13">
        <v>44652</v>
      </c>
      <c r="B104" s="4">
        <f>15.7994 * CHOOSE(CONTROL!$C$9, $C$13, 100%, $E$13) + CHOOSE(CONTROL!$C$28, 0.0003, 0)</f>
        <v>15.7997</v>
      </c>
      <c r="C104" s="4">
        <f>15.4362 * CHOOSE(CONTROL!$C$9, $C$13, 100%, $E$13) + CHOOSE(CONTROL!$C$28, 0.0003, 0)</f>
        <v>15.436499999999999</v>
      </c>
      <c r="D104" s="4">
        <f>23.3372 * CHOOSE(CONTROL!$C$9, $C$13, 100%, $E$13) + CHOOSE(CONTROL!$C$28, 0, 0)</f>
        <v>23.337199999999999</v>
      </c>
      <c r="E104" s="4">
        <f>101.418826569414 * CHOOSE(CONTROL!$C$9, $C$13, 100%, $E$13) + CHOOSE(CONTROL!$C$28, 0, 0)</f>
        <v>101.41882656941399</v>
      </c>
    </row>
    <row r="105" spans="1:5" ht="15">
      <c r="A105" s="13">
        <v>44682</v>
      </c>
      <c r="B105" s="4">
        <f>16.1593 * CHOOSE(CONTROL!$C$9, $C$13, 100%, $E$13) + CHOOSE(CONTROL!$C$28, 0.0311, 0)</f>
        <v>16.1904</v>
      </c>
      <c r="C105" s="4">
        <f>15.796 * CHOOSE(CONTROL!$C$9, $C$13, 100%, $E$13) + CHOOSE(CONTROL!$C$28, 0.0311, 0)</f>
        <v>15.8271</v>
      </c>
      <c r="D105" s="4">
        <f>23.0965 * CHOOSE(CONTROL!$C$9, $C$13, 100%, $E$13) + CHOOSE(CONTROL!$C$28, 0, 0)</f>
        <v>23.096499999999999</v>
      </c>
      <c r="E105" s="4">
        <f>103.847333844705 * CHOOSE(CONTROL!$C$9, $C$13, 100%, $E$13) + CHOOSE(CONTROL!$C$28, 0, 0)</f>
        <v>103.84733384470501</v>
      </c>
    </row>
    <row r="106" spans="1:5" ht="15">
      <c r="A106" s="13">
        <v>44713</v>
      </c>
      <c r="B106" s="4">
        <f>16.2079 * CHOOSE(CONTROL!$C$9, $C$13, 100%, $E$13) + CHOOSE(CONTROL!$C$28, 0.0311, 0)</f>
        <v>16.238999999999997</v>
      </c>
      <c r="C106" s="4">
        <f>15.8447 * CHOOSE(CONTROL!$C$9, $C$13, 100%, $E$13) + CHOOSE(CONTROL!$C$28, 0.0311, 0)</f>
        <v>15.8758</v>
      </c>
      <c r="D106" s="4">
        <f>23.2926 * CHOOSE(CONTROL!$C$9, $C$13, 100%, $E$13) + CHOOSE(CONTROL!$C$28, 0, 0)</f>
        <v>23.2926</v>
      </c>
      <c r="E106" s="4">
        <f>104.175920957564 * CHOOSE(CONTROL!$C$9, $C$13, 100%, $E$13) + CHOOSE(CONTROL!$C$28, 0, 0)</f>
        <v>104.175920957564</v>
      </c>
    </row>
    <row r="107" spans="1:5" ht="15">
      <c r="A107" s="13">
        <v>44743</v>
      </c>
      <c r="B107" s="4">
        <f>16.203 * CHOOSE(CONTROL!$C$9, $C$13, 100%, $E$13) + CHOOSE(CONTROL!$C$28, 0.0311, 0)</f>
        <v>16.234099999999998</v>
      </c>
      <c r="C107" s="4">
        <f>15.8397 * CHOOSE(CONTROL!$C$9, $C$13, 100%, $E$13) + CHOOSE(CONTROL!$C$28, 0.0311, 0)</f>
        <v>15.870800000000001</v>
      </c>
      <c r="D107" s="4">
        <f>23.6463 * CHOOSE(CONTROL!$C$9, $C$13, 100%, $E$13) + CHOOSE(CONTROL!$C$28, 0, 0)</f>
        <v>23.6463</v>
      </c>
      <c r="E107" s="4">
        <f>104.142786122654 * CHOOSE(CONTROL!$C$9, $C$13, 100%, $E$13) + CHOOSE(CONTROL!$C$28, 0, 0)</f>
        <v>104.142786122654</v>
      </c>
    </row>
    <row r="108" spans="1:5" ht="15">
      <c r="A108" s="13">
        <v>44774</v>
      </c>
      <c r="B108" s="4">
        <f>16.5724 * CHOOSE(CONTROL!$C$9, $C$13, 100%, $E$13) + CHOOSE(CONTROL!$C$28, 0.0311, 0)</f>
        <v>16.603499999999997</v>
      </c>
      <c r="C108" s="4">
        <f>16.2092 * CHOOSE(CONTROL!$C$9, $C$13, 100%, $E$13) + CHOOSE(CONTROL!$C$28, 0.0311, 0)</f>
        <v>16.240299999999998</v>
      </c>
      <c r="D108" s="4">
        <f>23.4127 * CHOOSE(CONTROL!$C$9, $C$13, 100%, $E$13) + CHOOSE(CONTROL!$C$28, 0, 0)</f>
        <v>23.412700000000001</v>
      </c>
      <c r="E108" s="4">
        <f>106.636182449644 * CHOOSE(CONTROL!$C$9, $C$13, 100%, $E$13) + CHOOSE(CONTROL!$C$28, 0, 0)</f>
        <v>106.636182449644</v>
      </c>
    </row>
    <row r="109" spans="1:5" ht="15">
      <c r="A109" s="13">
        <v>44805</v>
      </c>
      <c r="B109" s="4">
        <f>15.9428 * CHOOSE(CONTROL!$C$9, $C$13, 100%, $E$13) + CHOOSE(CONTROL!$C$28, 0.0311, 0)</f>
        <v>15.9739</v>
      </c>
      <c r="C109" s="4">
        <f>15.5796 * CHOOSE(CONTROL!$C$9, $C$13, 100%, $E$13) + CHOOSE(CONTROL!$C$28, 0.0311, 0)</f>
        <v>15.6107</v>
      </c>
      <c r="D109" s="4">
        <f>23.3023 * CHOOSE(CONTROL!$C$9, $C$13, 100%, $E$13) + CHOOSE(CONTROL!$C$28, 0, 0)</f>
        <v>23.302299999999999</v>
      </c>
      <c r="E109" s="4">
        <f>102.386639872415 * CHOOSE(CONTROL!$C$9, $C$13, 100%, $E$13) + CHOOSE(CONTROL!$C$28, 0, 0)</f>
        <v>102.386639872415</v>
      </c>
    </row>
    <row r="110" spans="1:5" ht="15">
      <c r="A110" s="13">
        <v>44835</v>
      </c>
      <c r="B110" s="4">
        <f>15.4388 * CHOOSE(CONTROL!$C$9, $C$13, 100%, $E$13) + CHOOSE(CONTROL!$C$28, 0.0003, 0)</f>
        <v>15.4391</v>
      </c>
      <c r="C110" s="4">
        <f>15.0755 * CHOOSE(CONTROL!$C$9, $C$13, 100%, $E$13) + CHOOSE(CONTROL!$C$28, 0.0003, 0)</f>
        <v>15.075799999999999</v>
      </c>
      <c r="D110" s="4">
        <f>23.0067 * CHOOSE(CONTROL!$C$9, $C$13, 100%, $E$13) + CHOOSE(CONTROL!$C$28, 0, 0)</f>
        <v>23.006699999999999</v>
      </c>
      <c r="E110" s="4">
        <f>98.9847968216383 * CHOOSE(CONTROL!$C$9, $C$13, 100%, $E$13) + CHOOSE(CONTROL!$C$28, 0, 0)</f>
        <v>98.984796821638298</v>
      </c>
    </row>
    <row r="111" spans="1:5" ht="15">
      <c r="A111" s="13">
        <v>44866</v>
      </c>
      <c r="B111" s="4">
        <f>15.1142 * CHOOSE(CONTROL!$C$9, $C$13, 100%, $E$13) + CHOOSE(CONTROL!$C$28, 0.0003, 0)</f>
        <v>15.1145</v>
      </c>
      <c r="C111" s="4">
        <f>14.7509 * CHOOSE(CONTROL!$C$9, $C$13, 100%, $E$13) + CHOOSE(CONTROL!$C$28, 0.0003, 0)</f>
        <v>14.751199999999999</v>
      </c>
      <c r="D111" s="4">
        <f>22.9051 * CHOOSE(CONTROL!$C$9, $C$13, 100%, $E$13) + CHOOSE(CONTROL!$C$28, 0, 0)</f>
        <v>22.905100000000001</v>
      </c>
      <c r="E111" s="4">
        <f>96.7937558632035 * CHOOSE(CONTROL!$C$9, $C$13, 100%, $E$13) + CHOOSE(CONTROL!$C$28, 0, 0)</f>
        <v>96.793755863203501</v>
      </c>
    </row>
    <row r="112" spans="1:5" ht="15">
      <c r="A112" s="13">
        <v>44896</v>
      </c>
      <c r="B112" s="4">
        <f>14.8896 * CHOOSE(CONTROL!$C$9, $C$13, 100%, $E$13) + CHOOSE(CONTROL!$C$28, 0.0003, 0)</f>
        <v>14.889899999999999</v>
      </c>
      <c r="C112" s="4">
        <f>14.5263 * CHOOSE(CONTROL!$C$9, $C$13, 100%, $E$13) + CHOOSE(CONTROL!$C$28, 0.0003, 0)</f>
        <v>14.5266</v>
      </c>
      <c r="D112" s="4">
        <f>22.157 * CHOOSE(CONTROL!$C$9, $C$13, 100%, $E$13) + CHOOSE(CONTROL!$C$28, 0, 0)</f>
        <v>22.157</v>
      </c>
      <c r="E112" s="4">
        <f>95.2778371660634 * CHOOSE(CONTROL!$C$9, $C$13, 100%, $E$13) + CHOOSE(CONTROL!$C$28, 0, 0)</f>
        <v>95.277837166063406</v>
      </c>
    </row>
    <row r="113" spans="1:5" ht="15">
      <c r="A113" s="13">
        <v>44927</v>
      </c>
      <c r="B113" s="4">
        <f>14.7924 * CHOOSE(CONTROL!$C$9, $C$13, 100%, $E$13) + CHOOSE(CONTROL!$C$28, 0.0003, 0)</f>
        <v>14.7927</v>
      </c>
      <c r="C113" s="4">
        <f>14.4291 * CHOOSE(CONTROL!$C$9, $C$13, 100%, $E$13) + CHOOSE(CONTROL!$C$28, 0.0003, 0)</f>
        <v>14.429399999999999</v>
      </c>
      <c r="D113" s="4">
        <f>21.9492 * CHOOSE(CONTROL!$C$9, $C$13, 100%, $E$13) + CHOOSE(CONTROL!$C$28, 0, 0)</f>
        <v>21.949200000000001</v>
      </c>
      <c r="E113" s="4">
        <f>94.0260553347621 * CHOOSE(CONTROL!$C$9, $C$13, 100%, $E$13) + CHOOSE(CONTROL!$C$28, 0, 0)</f>
        <v>94.026055334762106</v>
      </c>
    </row>
    <row r="114" spans="1:5" ht="15">
      <c r="A114" s="13">
        <v>44958</v>
      </c>
      <c r="B114" s="4">
        <f>15.1252 * CHOOSE(CONTROL!$C$9, $C$13, 100%, $E$13) + CHOOSE(CONTROL!$C$28, 0.0003, 0)</f>
        <v>15.125499999999999</v>
      </c>
      <c r="C114" s="4">
        <f>14.762 * CHOOSE(CONTROL!$C$9, $C$13, 100%, $E$13) + CHOOSE(CONTROL!$C$28, 0.0003, 0)</f>
        <v>14.7623</v>
      </c>
      <c r="D114" s="4">
        <f>22.6585 * CHOOSE(CONTROL!$C$9, $C$13, 100%, $E$13) + CHOOSE(CONTROL!$C$28, 0, 0)</f>
        <v>22.6585</v>
      </c>
      <c r="E114" s="4">
        <f>96.2586044365785 * CHOOSE(CONTROL!$C$9, $C$13, 100%, $E$13) + CHOOSE(CONTROL!$C$28, 0, 0)</f>
        <v>96.258604436578494</v>
      </c>
    </row>
    <row r="115" spans="1:5" ht="15">
      <c r="A115" s="13">
        <v>44986</v>
      </c>
      <c r="B115" s="4">
        <f>15.9994 * CHOOSE(CONTROL!$C$9, $C$13, 100%, $E$13) + CHOOSE(CONTROL!$C$28, 0.0003, 0)</f>
        <v>15.999699999999999</v>
      </c>
      <c r="C115" s="4">
        <f>15.6361 * CHOOSE(CONTROL!$C$9, $C$13, 100%, $E$13) + CHOOSE(CONTROL!$C$28, 0.0003, 0)</f>
        <v>15.6364</v>
      </c>
      <c r="D115" s="4">
        <f>23.7688 * CHOOSE(CONTROL!$C$9, $C$13, 100%, $E$13) + CHOOSE(CONTROL!$C$28, 0, 0)</f>
        <v>23.768799999999999</v>
      </c>
      <c r="E115" s="4">
        <f>102.121397022813 * CHOOSE(CONTROL!$C$9, $C$13, 100%, $E$13) + CHOOSE(CONTROL!$C$28, 0, 0)</f>
        <v>102.121397022813</v>
      </c>
    </row>
    <row r="116" spans="1:5" ht="15">
      <c r="A116" s="13">
        <v>45017</v>
      </c>
      <c r="B116" s="4">
        <f>16.6204 * CHOOSE(CONTROL!$C$9, $C$13, 100%, $E$13) + CHOOSE(CONTROL!$C$28, 0.0003, 0)</f>
        <v>16.620699999999999</v>
      </c>
      <c r="C116" s="4">
        <f>16.2571 * CHOOSE(CONTROL!$C$9, $C$13, 100%, $E$13) + CHOOSE(CONTROL!$C$28, 0.0003, 0)</f>
        <v>16.257400000000001</v>
      </c>
      <c r="D116" s="4">
        <f>24.4085 * CHOOSE(CONTROL!$C$9, $C$13, 100%, $E$13) + CHOOSE(CONTROL!$C$28, 0, 0)</f>
        <v>24.4085</v>
      </c>
      <c r="E116" s="4">
        <f>106.286989287317 * CHOOSE(CONTROL!$C$9, $C$13, 100%, $E$13) + CHOOSE(CONTROL!$C$28, 0, 0)</f>
        <v>106.286989287317</v>
      </c>
    </row>
    <row r="117" spans="1:5" ht="15">
      <c r="A117" s="13">
        <v>45047</v>
      </c>
      <c r="B117" s="4">
        <f>16.9999 * CHOOSE(CONTROL!$C$9, $C$13, 100%, $E$13) + CHOOSE(CONTROL!$C$28, 0.0311, 0)</f>
        <v>17.030999999999999</v>
      </c>
      <c r="C117" s="4">
        <f>16.6366 * CHOOSE(CONTROL!$C$9, $C$13, 100%, $E$13) + CHOOSE(CONTROL!$C$28, 0.0311, 0)</f>
        <v>16.6677</v>
      </c>
      <c r="D117" s="4">
        <f>24.1557 * CHOOSE(CONTROL!$C$9, $C$13, 100%, $E$13) + CHOOSE(CONTROL!$C$28, 0, 0)</f>
        <v>24.1557</v>
      </c>
      <c r="E117" s="4">
        <f>108.832066325616 * CHOOSE(CONTROL!$C$9, $C$13, 100%, $E$13) + CHOOSE(CONTROL!$C$28, 0, 0)</f>
        <v>108.832066325616</v>
      </c>
    </row>
    <row r="118" spans="1:5" ht="15">
      <c r="A118" s="13">
        <v>45078</v>
      </c>
      <c r="B118" s="4">
        <f>17.0512 * CHOOSE(CONTROL!$C$9, $C$13, 100%, $E$13) + CHOOSE(CONTROL!$C$28, 0.0311, 0)</f>
        <v>17.0823</v>
      </c>
      <c r="C118" s="4">
        <f>16.688 * CHOOSE(CONTROL!$C$9, $C$13, 100%, $E$13) + CHOOSE(CONTROL!$C$28, 0.0311, 0)</f>
        <v>16.719099999999997</v>
      </c>
      <c r="D118" s="4">
        <f>24.3616 * CHOOSE(CONTROL!$C$9, $C$13, 100%, $E$13) + CHOOSE(CONTROL!$C$28, 0, 0)</f>
        <v>24.361599999999999</v>
      </c>
      <c r="E118" s="4">
        <f>109.176425811184 * CHOOSE(CONTROL!$C$9, $C$13, 100%, $E$13) + CHOOSE(CONTROL!$C$28, 0, 0)</f>
        <v>109.176425811184</v>
      </c>
    </row>
    <row r="119" spans="1:5" ht="15">
      <c r="A119" s="13">
        <v>45108</v>
      </c>
      <c r="B119" s="4">
        <f>17.0461 * CHOOSE(CONTROL!$C$9, $C$13, 100%, $E$13) + CHOOSE(CONTROL!$C$28, 0.0311, 0)</f>
        <v>17.077199999999998</v>
      </c>
      <c r="C119" s="4">
        <f>16.6828 * CHOOSE(CONTROL!$C$9, $C$13, 100%, $E$13) + CHOOSE(CONTROL!$C$28, 0.0311, 0)</f>
        <v>16.713899999999999</v>
      </c>
      <c r="D119" s="4">
        <f>24.733 * CHOOSE(CONTROL!$C$9, $C$13, 100%, $E$13) + CHOOSE(CONTROL!$C$28, 0, 0)</f>
        <v>24.733000000000001</v>
      </c>
      <c r="E119" s="4">
        <f>109.141700484908 * CHOOSE(CONTROL!$C$9, $C$13, 100%, $E$13) + CHOOSE(CONTROL!$C$28, 0, 0)</f>
        <v>109.141700484908</v>
      </c>
    </row>
    <row r="120" spans="1:5" ht="15">
      <c r="A120" s="13">
        <v>45139</v>
      </c>
      <c r="B120" s="4">
        <f>17.4357 * CHOOSE(CONTROL!$C$9, $C$13, 100%, $E$13) + CHOOSE(CONTROL!$C$28, 0.0311, 0)</f>
        <v>17.466799999999999</v>
      </c>
      <c r="C120" s="4">
        <f>17.0724 * CHOOSE(CONTROL!$C$9, $C$13, 100%, $E$13) + CHOOSE(CONTROL!$C$28, 0.0311, 0)</f>
        <v>17.103499999999997</v>
      </c>
      <c r="D120" s="4">
        <f>24.4877 * CHOOSE(CONTROL!$C$9, $C$13, 100%, $E$13) + CHOOSE(CONTROL!$C$28, 0, 0)</f>
        <v>24.4877</v>
      </c>
      <c r="E120" s="4">
        <f>111.754781287164 * CHOOSE(CONTROL!$C$9, $C$13, 100%, $E$13) + CHOOSE(CONTROL!$C$28, 0, 0)</f>
        <v>111.75478128716399</v>
      </c>
    </row>
    <row r="121" spans="1:5" ht="15">
      <c r="A121" s="13">
        <v>45170</v>
      </c>
      <c r="B121" s="4">
        <f>16.7717 * CHOOSE(CONTROL!$C$9, $C$13, 100%, $E$13) + CHOOSE(CONTROL!$C$28, 0.0311, 0)</f>
        <v>16.802799999999998</v>
      </c>
      <c r="C121" s="4">
        <f>16.4084 * CHOOSE(CONTROL!$C$9, $C$13, 100%, $E$13) + CHOOSE(CONTROL!$C$28, 0.0311, 0)</f>
        <v>16.439499999999999</v>
      </c>
      <c r="D121" s="4">
        <f>24.3718 * CHOOSE(CONTROL!$C$9, $C$13, 100%, $E$13) + CHOOSE(CONTROL!$C$28, 0, 0)</f>
        <v>24.3718</v>
      </c>
      <c r="E121" s="4">
        <f>107.30125819229 * CHOOSE(CONTROL!$C$9, $C$13, 100%, $E$13) + CHOOSE(CONTROL!$C$28, 0, 0)</f>
        <v>107.30125819229001</v>
      </c>
    </row>
    <row r="122" spans="1:5" ht="15">
      <c r="A122" s="13">
        <v>45200</v>
      </c>
      <c r="B122" s="4">
        <f>16.2401 * CHOOSE(CONTROL!$C$9, $C$13, 100%, $E$13) + CHOOSE(CONTROL!$C$28, 0.0003, 0)</f>
        <v>16.240400000000001</v>
      </c>
      <c r="C122" s="4">
        <f>15.8768 * CHOOSE(CONTROL!$C$9, $C$13, 100%, $E$13) + CHOOSE(CONTROL!$C$28, 0.0003, 0)</f>
        <v>15.877099999999999</v>
      </c>
      <c r="D122" s="4">
        <f>24.0615 * CHOOSE(CONTROL!$C$9, $C$13, 100%, $E$13) + CHOOSE(CONTROL!$C$28, 0, 0)</f>
        <v>24.061499999999999</v>
      </c>
      <c r="E122" s="4">
        <f>103.736124694639 * CHOOSE(CONTROL!$C$9, $C$13, 100%, $E$13) + CHOOSE(CONTROL!$C$28, 0, 0)</f>
        <v>103.736124694639</v>
      </c>
    </row>
    <row r="123" spans="1:5" ht="15">
      <c r="A123" s="13">
        <v>45231</v>
      </c>
      <c r="B123" s="4">
        <f>15.8977 * CHOOSE(CONTROL!$C$9, $C$13, 100%, $E$13) + CHOOSE(CONTROL!$C$28, 0.0003, 0)</f>
        <v>15.898</v>
      </c>
      <c r="C123" s="4">
        <f>15.5345 * CHOOSE(CONTROL!$C$9, $C$13, 100%, $E$13) + CHOOSE(CONTROL!$C$28, 0.0003, 0)</f>
        <v>15.534799999999999</v>
      </c>
      <c r="D123" s="4">
        <f>23.9548 * CHOOSE(CONTROL!$C$9, $C$13, 100%, $E$13) + CHOOSE(CONTROL!$C$28, 0, 0)</f>
        <v>23.954799999999999</v>
      </c>
      <c r="E123" s="4">
        <f>101.43991249465 * CHOOSE(CONTROL!$C$9, $C$13, 100%, $E$13) + CHOOSE(CONTROL!$C$28, 0, 0)</f>
        <v>101.43991249465</v>
      </c>
    </row>
    <row r="124" spans="1:5" ht="15">
      <c r="A124" s="13">
        <v>45261</v>
      </c>
      <c r="B124" s="4">
        <f>15.6609 * CHOOSE(CONTROL!$C$9, $C$13, 100%, $E$13) + CHOOSE(CONTROL!$C$28, 0.0003, 0)</f>
        <v>15.661199999999999</v>
      </c>
      <c r="C124" s="4">
        <f>15.2976 * CHOOSE(CONTROL!$C$9, $C$13, 100%, $E$13) + CHOOSE(CONTROL!$C$28, 0.0003, 0)</f>
        <v>15.297899999999998</v>
      </c>
      <c r="D124" s="4">
        <f>23.1694 * CHOOSE(CONTROL!$C$9, $C$13, 100%, $E$13) + CHOOSE(CONTROL!$C$28, 0, 0)</f>
        <v>23.1694</v>
      </c>
      <c r="E124" s="4">
        <f>99.8512288175313 * CHOOSE(CONTROL!$C$9, $C$13, 100%, $E$13) + CHOOSE(CONTROL!$C$28, 0, 0)</f>
        <v>99.851228817531293</v>
      </c>
    </row>
    <row r="125" spans="1:5" ht="15">
      <c r="A125" s="13">
        <v>45292</v>
      </c>
      <c r="B125" s="4">
        <f>15.545 * CHOOSE(CONTROL!$C$9, $C$13, 100%, $E$13) + CHOOSE(CONTROL!$C$28, 0.0003, 0)</f>
        <v>15.545299999999999</v>
      </c>
      <c r="C125" s="4">
        <f>15.1817 * CHOOSE(CONTROL!$C$9, $C$13, 100%, $E$13) + CHOOSE(CONTROL!$C$28, 0.0003, 0)</f>
        <v>15.181999999999999</v>
      </c>
      <c r="D125" s="4">
        <f>23.2042 * CHOOSE(CONTROL!$C$9, $C$13, 100%, $E$13) + CHOOSE(CONTROL!$C$28, 0, 0)</f>
        <v>23.2042</v>
      </c>
      <c r="E125" s="4">
        <f>98.3322701573919 * CHOOSE(CONTROL!$C$9, $C$13, 100%, $E$13) + CHOOSE(CONTROL!$C$28, 0, 0)</f>
        <v>98.332270157391903</v>
      </c>
    </row>
    <row r="126" spans="1:5" ht="15">
      <c r="A126" s="13">
        <v>45323</v>
      </c>
      <c r="B126" s="4">
        <f>15.8957 * CHOOSE(CONTROL!$C$9, $C$13, 100%, $E$13) + CHOOSE(CONTROL!$C$28, 0.0003, 0)</f>
        <v>15.895999999999999</v>
      </c>
      <c r="C126" s="4">
        <f>15.5324 * CHOOSE(CONTROL!$C$9, $C$13, 100%, $E$13) + CHOOSE(CONTROL!$C$28, 0.0003, 0)</f>
        <v>15.5327</v>
      </c>
      <c r="D126" s="4">
        <f>23.9579 * CHOOSE(CONTROL!$C$9, $C$13, 100%, $E$13) + CHOOSE(CONTROL!$C$28, 0, 0)</f>
        <v>23.957899999999999</v>
      </c>
      <c r="E126" s="4">
        <f>100.6670657695 * CHOOSE(CONTROL!$C$9, $C$13, 100%, $E$13) + CHOOSE(CONTROL!$C$28, 0, 0)</f>
        <v>100.6670657695</v>
      </c>
    </row>
    <row r="127" spans="1:5" ht="15">
      <c r="A127" s="13">
        <v>45352</v>
      </c>
      <c r="B127" s="4">
        <f>16.8168 * CHOOSE(CONTROL!$C$9, $C$13, 100%, $E$13) + CHOOSE(CONTROL!$C$28, 0.0003, 0)</f>
        <v>16.8171</v>
      </c>
      <c r="C127" s="4">
        <f>16.4535 * CHOOSE(CONTROL!$C$9, $C$13, 100%, $E$13) + CHOOSE(CONTROL!$C$28, 0.0003, 0)</f>
        <v>16.453799999999998</v>
      </c>
      <c r="D127" s="4">
        <f>25.1376 * CHOOSE(CONTROL!$C$9, $C$13, 100%, $E$13) + CHOOSE(CONTROL!$C$28, 0, 0)</f>
        <v>25.137599999999999</v>
      </c>
      <c r="E127" s="4">
        <f>106.798363125471 * CHOOSE(CONTROL!$C$9, $C$13, 100%, $E$13) + CHOOSE(CONTROL!$C$28, 0, 0)</f>
        <v>106.798363125471</v>
      </c>
    </row>
    <row r="128" spans="1:5" ht="15">
      <c r="A128" s="13">
        <v>45383</v>
      </c>
      <c r="B128" s="4">
        <f>17.4712 * CHOOSE(CONTROL!$C$9, $C$13, 100%, $E$13) + CHOOSE(CONTROL!$C$28, 0.0003, 0)</f>
        <v>17.471499999999999</v>
      </c>
      <c r="C128" s="4">
        <f>17.1079 * CHOOSE(CONTROL!$C$9, $C$13, 100%, $E$13) + CHOOSE(CONTROL!$C$28, 0.0003, 0)</f>
        <v>17.1082</v>
      </c>
      <c r="D128" s="4">
        <f>25.8171 * CHOOSE(CONTROL!$C$9, $C$13, 100%, $E$13) + CHOOSE(CONTROL!$C$28, 0, 0)</f>
        <v>25.8171</v>
      </c>
      <c r="E128" s="4">
        <f>111.154731607169 * CHOOSE(CONTROL!$C$9, $C$13, 100%, $E$13) + CHOOSE(CONTROL!$C$28, 0, 0)</f>
        <v>111.154731607169</v>
      </c>
    </row>
    <row r="129" spans="1:5" ht="15">
      <c r="A129" s="13">
        <v>45413</v>
      </c>
      <c r="B129" s="4">
        <f>17.871 * CHOOSE(CONTROL!$C$9, $C$13, 100%, $E$13) + CHOOSE(CONTROL!$C$28, 0.0311, 0)</f>
        <v>17.902099999999997</v>
      </c>
      <c r="C129" s="4">
        <f>17.5077 * CHOOSE(CONTROL!$C$9, $C$13, 100%, $E$13) + CHOOSE(CONTROL!$C$28, 0.0311, 0)</f>
        <v>17.538799999999998</v>
      </c>
      <c r="D129" s="4">
        <f>25.5486 * CHOOSE(CONTROL!$C$9, $C$13, 100%, $E$13) + CHOOSE(CONTROL!$C$28, 0, 0)</f>
        <v>25.5486</v>
      </c>
      <c r="E129" s="4">
        <f>113.816368341905 * CHOOSE(CONTROL!$C$9, $C$13, 100%, $E$13) + CHOOSE(CONTROL!$C$28, 0, 0)</f>
        <v>113.816368341905</v>
      </c>
    </row>
    <row r="130" spans="1:5" ht="15">
      <c r="A130" s="13">
        <v>45444</v>
      </c>
      <c r="B130" s="4">
        <f>17.9251 * CHOOSE(CONTROL!$C$9, $C$13, 100%, $E$13) + CHOOSE(CONTROL!$C$28, 0.0311, 0)</f>
        <v>17.956199999999999</v>
      </c>
      <c r="C130" s="4">
        <f>17.5618 * CHOOSE(CONTROL!$C$9, $C$13, 100%, $E$13) + CHOOSE(CONTROL!$C$28, 0.0311, 0)</f>
        <v>17.5929</v>
      </c>
      <c r="D130" s="4">
        <f>25.7673 * CHOOSE(CONTROL!$C$9, $C$13, 100%, $E$13) + CHOOSE(CONTROL!$C$28, 0, 0)</f>
        <v>25.767299999999999</v>
      </c>
      <c r="E130" s="4">
        <f>114.176498838134 * CHOOSE(CONTROL!$C$9, $C$13, 100%, $E$13) + CHOOSE(CONTROL!$C$28, 0, 0)</f>
        <v>114.17649883813399</v>
      </c>
    </row>
    <row r="131" spans="1:5" ht="15">
      <c r="A131" s="13">
        <v>45474</v>
      </c>
      <c r="B131" s="4">
        <f>17.9197 * CHOOSE(CONTROL!$C$9, $C$13, 100%, $E$13) + CHOOSE(CONTROL!$C$28, 0.0311, 0)</f>
        <v>17.950799999999997</v>
      </c>
      <c r="C131" s="4">
        <f>17.5564 * CHOOSE(CONTROL!$C$9, $C$13, 100%, $E$13) + CHOOSE(CONTROL!$C$28, 0.0311, 0)</f>
        <v>17.587499999999999</v>
      </c>
      <c r="D131" s="4">
        <f>26.1619 * CHOOSE(CONTROL!$C$9, $C$13, 100%, $E$13) + CHOOSE(CONTROL!$C$28, 0, 0)</f>
        <v>26.161899999999999</v>
      </c>
      <c r="E131" s="4">
        <f>114.140183157842 * CHOOSE(CONTROL!$C$9, $C$13, 100%, $E$13) + CHOOSE(CONTROL!$C$28, 0, 0)</f>
        <v>114.140183157842</v>
      </c>
    </row>
    <row r="132" spans="1:5" ht="15">
      <c r="A132" s="13">
        <v>45505</v>
      </c>
      <c r="B132" s="4">
        <f>18.3302 * CHOOSE(CONTROL!$C$9, $C$13, 100%, $E$13) + CHOOSE(CONTROL!$C$28, 0.0311, 0)</f>
        <v>18.3613</v>
      </c>
      <c r="C132" s="4">
        <f>17.9669 * CHOOSE(CONTROL!$C$9, $C$13, 100%, $E$13) + CHOOSE(CONTROL!$C$28, 0.0311, 0)</f>
        <v>17.997999999999998</v>
      </c>
      <c r="D132" s="4">
        <f>25.9013 * CHOOSE(CONTROL!$C$9, $C$13, 100%, $E$13) + CHOOSE(CONTROL!$C$28, 0, 0)</f>
        <v>25.901299999999999</v>
      </c>
      <c r="E132" s="4">
        <f>116.872938099817 * CHOOSE(CONTROL!$C$9, $C$13, 100%, $E$13) + CHOOSE(CONTROL!$C$28, 0, 0)</f>
        <v>116.87293809981701</v>
      </c>
    </row>
    <row r="133" spans="1:5" ht="15">
      <c r="A133" s="13">
        <v>45536</v>
      </c>
      <c r="B133" s="4">
        <f>17.6305 * CHOOSE(CONTROL!$C$9, $C$13, 100%, $E$13) + CHOOSE(CONTROL!$C$28, 0.0311, 0)</f>
        <v>17.6616</v>
      </c>
      <c r="C133" s="4">
        <f>17.2672 * CHOOSE(CONTROL!$C$9, $C$13, 100%, $E$13) + CHOOSE(CONTROL!$C$28, 0.0311, 0)</f>
        <v>17.298299999999998</v>
      </c>
      <c r="D133" s="4">
        <f>25.7782 * CHOOSE(CONTROL!$C$9, $C$13, 100%, $E$13) + CHOOSE(CONTROL!$C$28, 0, 0)</f>
        <v>25.778199999999998</v>
      </c>
      <c r="E133" s="4">
        <f>112.215452102365 * CHOOSE(CONTROL!$C$9, $C$13, 100%, $E$13) + CHOOSE(CONTROL!$C$28, 0, 0)</f>
        <v>112.21545210236501</v>
      </c>
    </row>
    <row r="134" spans="1:5" ht="15">
      <c r="A134" s="13">
        <v>45566</v>
      </c>
      <c r="B134" s="4">
        <f>17.0704 * CHOOSE(CONTROL!$C$9, $C$13, 100%, $E$13) + CHOOSE(CONTROL!$C$28, 0.0003, 0)</f>
        <v>17.070699999999999</v>
      </c>
      <c r="C134" s="4">
        <f>16.7072 * CHOOSE(CONTROL!$C$9, $C$13, 100%, $E$13) + CHOOSE(CONTROL!$C$28, 0.0003, 0)</f>
        <v>16.7075</v>
      </c>
      <c r="D134" s="4">
        <f>25.4485 * CHOOSE(CONTROL!$C$9, $C$13, 100%, $E$13) + CHOOSE(CONTROL!$C$28, 0, 0)</f>
        <v>25.448499999999999</v>
      </c>
      <c r="E134" s="4">
        <f>108.48704225905 * CHOOSE(CONTROL!$C$9, $C$13, 100%, $E$13) + CHOOSE(CONTROL!$C$28, 0, 0)</f>
        <v>108.48704225905</v>
      </c>
    </row>
    <row r="135" spans="1:5" ht="15">
      <c r="A135" s="13">
        <v>45597</v>
      </c>
      <c r="B135" s="4">
        <f>16.7097 * CHOOSE(CONTROL!$C$9, $C$13, 100%, $E$13) + CHOOSE(CONTROL!$C$28, 0.0003, 0)</f>
        <v>16.71</v>
      </c>
      <c r="C135" s="4">
        <f>16.3464 * CHOOSE(CONTROL!$C$9, $C$13, 100%, $E$13) + CHOOSE(CONTROL!$C$28, 0.0003, 0)</f>
        <v>16.346699999999998</v>
      </c>
      <c r="D135" s="4">
        <f>25.3352 * CHOOSE(CONTROL!$C$9, $C$13, 100%, $E$13) + CHOOSE(CONTROL!$C$28, 0, 0)</f>
        <v>25.3352</v>
      </c>
      <c r="E135" s="4">
        <f>106.08566789974 * CHOOSE(CONTROL!$C$9, $C$13, 100%, $E$13) + CHOOSE(CONTROL!$C$28, 0, 0)</f>
        <v>106.08566789974</v>
      </c>
    </row>
    <row r="136" spans="1:5" ht="15">
      <c r="A136" s="13">
        <v>45627</v>
      </c>
      <c r="B136" s="4">
        <f>16.4601 * CHOOSE(CONTROL!$C$9, $C$13, 100%, $E$13) + CHOOSE(CONTROL!$C$28, 0.0003, 0)</f>
        <v>16.4604</v>
      </c>
      <c r="C136" s="4">
        <f>16.0968 * CHOOSE(CONTROL!$C$9, $C$13, 100%, $E$13) + CHOOSE(CONTROL!$C$28, 0.0003, 0)</f>
        <v>16.097100000000001</v>
      </c>
      <c r="D136" s="4">
        <f>24.5007 * CHOOSE(CONTROL!$C$9, $C$13, 100%, $E$13) + CHOOSE(CONTROL!$C$28, 0, 0)</f>
        <v>24.500699999999998</v>
      </c>
      <c r="E136" s="4">
        <f>104.42422552638 * CHOOSE(CONTROL!$C$9, $C$13, 100%, $E$13) + CHOOSE(CONTROL!$C$28, 0, 0)</f>
        <v>104.42422552638</v>
      </c>
    </row>
    <row r="137" spans="1:5" ht="15">
      <c r="A137" s="13">
        <v>45658</v>
      </c>
      <c r="B137" s="4">
        <f>16.7739 * CHOOSE(CONTROL!$C$9, $C$13, 100%, $E$13) + CHOOSE(CONTROL!$C$28, 0.0003, 0)</f>
        <v>16.7742</v>
      </c>
      <c r="C137" s="4">
        <f>16.4106 * CHOOSE(CONTROL!$C$9, $C$13, 100%, $E$13) + CHOOSE(CONTROL!$C$28, 0.0003, 0)</f>
        <v>16.410899999999998</v>
      </c>
      <c r="D137" s="4">
        <f>24.4274 * CHOOSE(CONTROL!$C$9, $C$13, 100%, $E$13) + CHOOSE(CONTROL!$C$28, 0, 0)</f>
        <v>24.427399999999999</v>
      </c>
      <c r="E137" s="4">
        <f>103.540809368942 * CHOOSE(CONTROL!$C$9, $C$13, 100%, $E$13) + CHOOSE(CONTROL!$C$28, 0, 0)</f>
        <v>103.54080936894201</v>
      </c>
    </row>
    <row r="138" spans="1:5" ht="15">
      <c r="A138" s="13">
        <v>45689</v>
      </c>
      <c r="B138" s="4">
        <f>17.1538 * CHOOSE(CONTROL!$C$9, $C$13, 100%, $E$13) + CHOOSE(CONTROL!$C$28, 0.0003, 0)</f>
        <v>17.1541</v>
      </c>
      <c r="C138" s="4">
        <f>16.7905 * CHOOSE(CONTROL!$C$9, $C$13, 100%, $E$13) + CHOOSE(CONTROL!$C$28, 0.0003, 0)</f>
        <v>16.790800000000001</v>
      </c>
      <c r="D138" s="4">
        <f>25.2242 * CHOOSE(CONTROL!$C$9, $C$13, 100%, $E$13) + CHOOSE(CONTROL!$C$28, 0, 0)</f>
        <v>25.2242</v>
      </c>
      <c r="E138" s="4">
        <f>105.999276228314 * CHOOSE(CONTROL!$C$9, $C$13, 100%, $E$13) + CHOOSE(CONTROL!$C$28, 0, 0)</f>
        <v>105.999276228314</v>
      </c>
    </row>
    <row r="139" spans="1:5" ht="15">
      <c r="A139" s="13">
        <v>45717</v>
      </c>
      <c r="B139" s="4">
        <f>18.1514 * CHOOSE(CONTROL!$C$9, $C$13, 100%, $E$13) + CHOOSE(CONTROL!$C$28, 0.0003, 0)</f>
        <v>18.151699999999998</v>
      </c>
      <c r="C139" s="4">
        <f>17.7882 * CHOOSE(CONTROL!$C$9, $C$13, 100%, $E$13) + CHOOSE(CONTROL!$C$28, 0.0003, 0)</f>
        <v>17.788499999999999</v>
      </c>
      <c r="D139" s="4">
        <f>26.4715 * CHOOSE(CONTROL!$C$9, $C$13, 100%, $E$13) + CHOOSE(CONTROL!$C$28, 0, 0)</f>
        <v>26.471499999999999</v>
      </c>
      <c r="E139" s="4">
        <f>112.455340851888 * CHOOSE(CONTROL!$C$9, $C$13, 100%, $E$13) + CHOOSE(CONTROL!$C$28, 0, 0)</f>
        <v>112.455340851888</v>
      </c>
    </row>
    <row r="140" spans="1:5" ht="15">
      <c r="A140" s="13">
        <v>45748</v>
      </c>
      <c r="B140" s="4">
        <f>18.8603 * CHOOSE(CONTROL!$C$9, $C$13, 100%, $E$13) + CHOOSE(CONTROL!$C$28, 0.0003, 0)</f>
        <v>18.860599999999998</v>
      </c>
      <c r="C140" s="4">
        <f>18.497 * CHOOSE(CONTROL!$C$9, $C$13, 100%, $E$13) + CHOOSE(CONTROL!$C$28, 0.0003, 0)</f>
        <v>18.497299999999999</v>
      </c>
      <c r="D140" s="4">
        <f>27.19 * CHOOSE(CONTROL!$C$9, $C$13, 100%, $E$13) + CHOOSE(CONTROL!$C$28, 0, 0)</f>
        <v>27.19</v>
      </c>
      <c r="E140" s="4">
        <f>117.042460805311 * CHOOSE(CONTROL!$C$9, $C$13, 100%, $E$13) + CHOOSE(CONTROL!$C$28, 0, 0)</f>
        <v>117.04246080531099</v>
      </c>
    </row>
    <row r="141" spans="1:5" ht="15">
      <c r="A141" s="13">
        <v>45778</v>
      </c>
      <c r="B141" s="4">
        <f>19.2934 * CHOOSE(CONTROL!$C$9, $C$13, 100%, $E$13) + CHOOSE(CONTROL!$C$28, 0.0311, 0)</f>
        <v>19.324499999999997</v>
      </c>
      <c r="C141" s="4">
        <f>18.9301 * CHOOSE(CONTROL!$C$9, $C$13, 100%, $E$13) + CHOOSE(CONTROL!$C$28, 0.0311, 0)</f>
        <v>18.961199999999998</v>
      </c>
      <c r="D141" s="4">
        <f>26.9061 * CHOOSE(CONTROL!$C$9, $C$13, 100%, $E$13) + CHOOSE(CONTROL!$C$28, 0, 0)</f>
        <v>26.906099999999999</v>
      </c>
      <c r="E141" s="4">
        <f>119.845081158931 * CHOOSE(CONTROL!$C$9, $C$13, 100%, $E$13) + CHOOSE(CONTROL!$C$28, 0, 0)</f>
        <v>119.845081158931</v>
      </c>
    </row>
    <row r="142" spans="1:5" ht="15">
      <c r="A142" s="13">
        <v>45809</v>
      </c>
      <c r="B142" s="4">
        <f>19.352 * CHOOSE(CONTROL!$C$9, $C$13, 100%, $E$13) + CHOOSE(CONTROL!$C$28, 0.0311, 0)</f>
        <v>19.383099999999999</v>
      </c>
      <c r="C142" s="4">
        <f>18.9887 * CHOOSE(CONTROL!$C$9, $C$13, 100%, $E$13) + CHOOSE(CONTROL!$C$28, 0.0311, 0)</f>
        <v>19.0198</v>
      </c>
      <c r="D142" s="4">
        <f>27.1373 * CHOOSE(CONTROL!$C$9, $C$13, 100%, $E$13) + CHOOSE(CONTROL!$C$28, 0, 0)</f>
        <v>27.1373</v>
      </c>
      <c r="E142" s="4">
        <f>120.224287323889 * CHOOSE(CONTROL!$C$9, $C$13, 100%, $E$13) + CHOOSE(CONTROL!$C$28, 0, 0)</f>
        <v>120.224287323889</v>
      </c>
    </row>
    <row r="143" spans="1:5" ht="15">
      <c r="A143" s="13">
        <v>45839</v>
      </c>
      <c r="B143" s="4">
        <f>19.3461 * CHOOSE(CONTROL!$C$9, $C$13, 100%, $E$13) + CHOOSE(CONTROL!$C$28, 0.0311, 0)</f>
        <v>19.377199999999998</v>
      </c>
      <c r="C143" s="4">
        <f>18.9828 * CHOOSE(CONTROL!$C$9, $C$13, 100%, $E$13) + CHOOSE(CONTROL!$C$28, 0.0311, 0)</f>
        <v>19.0139</v>
      </c>
      <c r="D143" s="4">
        <f>27.5545 * CHOOSE(CONTROL!$C$9, $C$13, 100%, $E$13) + CHOOSE(CONTROL!$C$28, 0, 0)</f>
        <v>27.554500000000001</v>
      </c>
      <c r="E143" s="4">
        <f>120.18604804675 * CHOOSE(CONTROL!$C$9, $C$13, 100%, $E$13) + CHOOSE(CONTROL!$C$28, 0, 0)</f>
        <v>120.18604804675</v>
      </c>
    </row>
    <row r="144" spans="1:5" ht="15">
      <c r="A144" s="13">
        <v>45870</v>
      </c>
      <c r="B144" s="4">
        <f>19.7907 * CHOOSE(CONTROL!$C$9, $C$13, 100%, $E$13) + CHOOSE(CONTROL!$C$28, 0.0311, 0)</f>
        <v>19.8218</v>
      </c>
      <c r="C144" s="4">
        <f>19.4275 * CHOOSE(CONTROL!$C$9, $C$13, 100%, $E$13) + CHOOSE(CONTROL!$C$28, 0.0311, 0)</f>
        <v>19.458599999999997</v>
      </c>
      <c r="D144" s="4">
        <f>27.279 * CHOOSE(CONTROL!$C$9, $C$13, 100%, $E$13) + CHOOSE(CONTROL!$C$28, 0, 0)</f>
        <v>27.279</v>
      </c>
      <c r="E144" s="4">
        <f>123.063553651433 * CHOOSE(CONTROL!$C$9, $C$13, 100%, $E$13) + CHOOSE(CONTROL!$C$28, 0, 0)</f>
        <v>123.063553651433</v>
      </c>
    </row>
    <row r="145" spans="1:5" ht="15">
      <c r="A145" s="13">
        <v>45901</v>
      </c>
      <c r="B145" s="4">
        <f>19.0329 * CHOOSE(CONTROL!$C$9, $C$13, 100%, $E$13) + CHOOSE(CONTROL!$C$28, 0.0311, 0)</f>
        <v>19.064</v>
      </c>
      <c r="C145" s="4">
        <f>18.6696 * CHOOSE(CONTROL!$C$9, $C$13, 100%, $E$13) + CHOOSE(CONTROL!$C$28, 0.0311, 0)</f>
        <v>18.700699999999998</v>
      </c>
      <c r="D145" s="4">
        <f>27.1488 * CHOOSE(CONTROL!$C$9, $C$13, 100%, $E$13) + CHOOSE(CONTROL!$C$28, 0, 0)</f>
        <v>27.148800000000001</v>
      </c>
      <c r="E145" s="4">
        <f>118.159366358402 * CHOOSE(CONTROL!$C$9, $C$13, 100%, $E$13) + CHOOSE(CONTROL!$C$28, 0, 0)</f>
        <v>118.159366358402</v>
      </c>
    </row>
    <row r="146" spans="1:5" ht="15">
      <c r="A146" s="13">
        <v>45931</v>
      </c>
      <c r="B146" s="4">
        <f>18.4262 * CHOOSE(CONTROL!$C$9, $C$13, 100%, $E$13) + CHOOSE(CONTROL!$C$28, 0.0003, 0)</f>
        <v>18.426500000000001</v>
      </c>
      <c r="C146" s="4">
        <f>18.0629 * CHOOSE(CONTROL!$C$9, $C$13, 100%, $E$13) + CHOOSE(CONTROL!$C$28, 0.0003, 0)</f>
        <v>18.063199999999998</v>
      </c>
      <c r="D146" s="4">
        <f>26.8002 * CHOOSE(CONTROL!$C$9, $C$13, 100%, $E$13) + CHOOSE(CONTROL!$C$28, 0, 0)</f>
        <v>26.8002</v>
      </c>
      <c r="E146" s="4">
        <f>114.233467238835 * CHOOSE(CONTROL!$C$9, $C$13, 100%, $E$13) + CHOOSE(CONTROL!$C$28, 0, 0)</f>
        <v>114.233467238835</v>
      </c>
    </row>
    <row r="147" spans="1:5" ht="15">
      <c r="A147" s="13">
        <v>45962</v>
      </c>
      <c r="B147" s="4">
        <f>18.0355 * CHOOSE(CONTROL!$C$9, $C$13, 100%, $E$13) + CHOOSE(CONTROL!$C$28, 0.0003, 0)</f>
        <v>18.035799999999998</v>
      </c>
      <c r="C147" s="4">
        <f>17.6722 * CHOOSE(CONTROL!$C$9, $C$13, 100%, $E$13) + CHOOSE(CONTROL!$C$28, 0.0003, 0)</f>
        <v>17.672499999999999</v>
      </c>
      <c r="D147" s="4">
        <f>26.6804 * CHOOSE(CONTROL!$C$9, $C$13, 100%, $E$13) + CHOOSE(CONTROL!$C$28, 0, 0)</f>
        <v>26.680399999999999</v>
      </c>
      <c r="E147" s="4">
        <f>111.704895038042 * CHOOSE(CONTROL!$C$9, $C$13, 100%, $E$13) + CHOOSE(CONTROL!$C$28, 0, 0)</f>
        <v>111.704895038042</v>
      </c>
    </row>
    <row r="148" spans="1:5" ht="15">
      <c r="A148" s="13">
        <v>45992</v>
      </c>
      <c r="B148" s="4">
        <f>17.7651 * CHOOSE(CONTROL!$C$9, $C$13, 100%, $E$13) + CHOOSE(CONTROL!$C$28, 0.0003, 0)</f>
        <v>17.7654</v>
      </c>
      <c r="C148" s="4">
        <f>17.4018 * CHOOSE(CONTROL!$C$9, $C$13, 100%, $E$13) + CHOOSE(CONTROL!$C$28, 0.0003, 0)</f>
        <v>17.402100000000001</v>
      </c>
      <c r="D148" s="4">
        <f>25.7981 * CHOOSE(CONTROL!$C$9, $C$13, 100%, $E$13) + CHOOSE(CONTROL!$C$28, 0, 0)</f>
        <v>25.798100000000002</v>
      </c>
      <c r="E148" s="4">
        <f>109.955448108949 * CHOOSE(CONTROL!$C$9, $C$13, 100%, $E$13) + CHOOSE(CONTROL!$C$28, 0, 0)</f>
        <v>109.955448108949</v>
      </c>
    </row>
    <row r="149" spans="1:5" ht="15">
      <c r="A149" s="13">
        <v>46023</v>
      </c>
      <c r="B149" s="4">
        <f>17.2971 * CHOOSE(CONTROL!$C$9, $C$13, 100%, $E$13) + CHOOSE(CONTROL!$C$28, 0.0003, 0)</f>
        <v>17.2974</v>
      </c>
      <c r="C149" s="4">
        <f>16.9339 * CHOOSE(CONTROL!$C$9, $C$13, 100%, $E$13) + CHOOSE(CONTROL!$C$28, 0.0003, 0)</f>
        <v>16.934200000000001</v>
      </c>
      <c r="D149" s="4">
        <f>25.1138 * CHOOSE(CONTROL!$C$9, $C$13, 100%, $E$13) + CHOOSE(CONTROL!$C$28, 0, 0)</f>
        <v>25.113800000000001</v>
      </c>
      <c r="E149" s="4">
        <f>107.022544453101 * CHOOSE(CONTROL!$C$9, $C$13, 100%, $E$13) + CHOOSE(CONTROL!$C$28, 0, 0)</f>
        <v>107.02254445310101</v>
      </c>
    </row>
    <row r="150" spans="1:5" ht="15">
      <c r="A150" s="13">
        <v>46054</v>
      </c>
      <c r="B150" s="4">
        <f>17.6895 * CHOOSE(CONTROL!$C$9, $C$13, 100%, $E$13) + CHOOSE(CONTROL!$C$28, 0.0003, 0)</f>
        <v>17.689799999999998</v>
      </c>
      <c r="C150" s="4">
        <f>17.3262 * CHOOSE(CONTROL!$C$9, $C$13, 100%, $E$13) + CHOOSE(CONTROL!$C$28, 0.0003, 0)</f>
        <v>17.326499999999999</v>
      </c>
      <c r="D150" s="4">
        <f>25.9348 * CHOOSE(CONTROL!$C$9, $C$13, 100%, $E$13) + CHOOSE(CONTROL!$C$28, 0, 0)</f>
        <v>25.934799999999999</v>
      </c>
      <c r="E150" s="4">
        <f>109.563681424574 * CHOOSE(CONTROL!$C$9, $C$13, 100%, $E$13) + CHOOSE(CONTROL!$C$28, 0, 0)</f>
        <v>109.563681424574</v>
      </c>
    </row>
    <row r="151" spans="1:5" ht="15">
      <c r="A151" s="13">
        <v>46082</v>
      </c>
      <c r="B151" s="4">
        <f>18.7198 * CHOOSE(CONTROL!$C$9, $C$13, 100%, $E$13) + CHOOSE(CONTROL!$C$28, 0.0003, 0)</f>
        <v>18.720099999999999</v>
      </c>
      <c r="C151" s="4">
        <f>18.3565 * CHOOSE(CONTROL!$C$9, $C$13, 100%, $E$13) + CHOOSE(CONTROL!$C$28, 0.0003, 0)</f>
        <v>18.3568</v>
      </c>
      <c r="D151" s="4">
        <f>27.22 * CHOOSE(CONTROL!$C$9, $C$13, 100%, $E$13) + CHOOSE(CONTROL!$C$28, 0, 0)</f>
        <v>27.22</v>
      </c>
      <c r="E151" s="4">
        <f>116.23684215588 * CHOOSE(CONTROL!$C$9, $C$13, 100%, $E$13) + CHOOSE(CONTROL!$C$28, 0, 0)</f>
        <v>116.23684215588</v>
      </c>
    </row>
    <row r="152" spans="1:5" ht="15">
      <c r="A152" s="13">
        <v>46113</v>
      </c>
      <c r="B152" s="4">
        <f>19.4518 * CHOOSE(CONTROL!$C$9, $C$13, 100%, $E$13) + CHOOSE(CONTROL!$C$28, 0.0003, 0)</f>
        <v>19.452099999999998</v>
      </c>
      <c r="C152" s="4">
        <f>19.0885 * CHOOSE(CONTROL!$C$9, $C$13, 100%, $E$13) + CHOOSE(CONTROL!$C$28, 0.0003, 0)</f>
        <v>19.088799999999999</v>
      </c>
      <c r="D152" s="4">
        <f>27.9603 * CHOOSE(CONTROL!$C$9, $C$13, 100%, $E$13) + CHOOSE(CONTROL!$C$28, 0, 0)</f>
        <v>27.9603</v>
      </c>
      <c r="E152" s="4">
        <f>120.978211787034 * CHOOSE(CONTROL!$C$9, $C$13, 100%, $E$13) + CHOOSE(CONTROL!$C$28, 0, 0)</f>
        <v>120.978211787034</v>
      </c>
    </row>
    <row r="153" spans="1:5" ht="15">
      <c r="A153" s="13">
        <v>46143</v>
      </c>
      <c r="B153" s="4">
        <f>19.8991 * CHOOSE(CONTROL!$C$9, $C$13, 100%, $E$13) + CHOOSE(CONTROL!$C$28, 0.0311, 0)</f>
        <v>19.930199999999999</v>
      </c>
      <c r="C153" s="4">
        <f>19.5358 * CHOOSE(CONTROL!$C$9, $C$13, 100%, $E$13) + CHOOSE(CONTROL!$C$28, 0.0311, 0)</f>
        <v>19.566899999999997</v>
      </c>
      <c r="D153" s="4">
        <f>27.6678 * CHOOSE(CONTROL!$C$9, $C$13, 100%, $E$13) + CHOOSE(CONTROL!$C$28, 0, 0)</f>
        <v>27.6678</v>
      </c>
      <c r="E153" s="4">
        <f>123.875074996897 * CHOOSE(CONTROL!$C$9, $C$13, 100%, $E$13) + CHOOSE(CONTROL!$C$28, 0, 0)</f>
        <v>123.875074996897</v>
      </c>
    </row>
    <row r="154" spans="1:5" ht="15">
      <c r="A154" s="13">
        <v>46174</v>
      </c>
      <c r="B154" s="4">
        <f>19.9596 * CHOOSE(CONTROL!$C$9, $C$13, 100%, $E$13) + CHOOSE(CONTROL!$C$28, 0.0311, 0)</f>
        <v>19.990699999999997</v>
      </c>
      <c r="C154" s="4">
        <f>19.5963 * CHOOSE(CONTROL!$C$9, $C$13, 100%, $E$13) + CHOOSE(CONTROL!$C$28, 0.0311, 0)</f>
        <v>19.627399999999998</v>
      </c>
      <c r="D154" s="4">
        <f>27.906 * CHOOSE(CONTROL!$C$9, $C$13, 100%, $E$13) + CHOOSE(CONTROL!$C$28, 0, 0)</f>
        <v>27.905999999999999</v>
      </c>
      <c r="E154" s="4">
        <f>124.267032611421 * CHOOSE(CONTROL!$C$9, $C$13, 100%, $E$13) + CHOOSE(CONTROL!$C$28, 0, 0)</f>
        <v>124.267032611421</v>
      </c>
    </row>
    <row r="155" spans="1:5" ht="15">
      <c r="A155" s="13">
        <v>46204</v>
      </c>
      <c r="B155" s="4">
        <f>19.9535 * CHOOSE(CONTROL!$C$9, $C$13, 100%, $E$13) + CHOOSE(CONTROL!$C$28, 0.0311, 0)</f>
        <v>19.984599999999997</v>
      </c>
      <c r="C155" s="4">
        <f>19.5902 * CHOOSE(CONTROL!$C$9, $C$13, 100%, $E$13) + CHOOSE(CONTROL!$C$28, 0.0311, 0)</f>
        <v>19.621299999999998</v>
      </c>
      <c r="D155" s="4">
        <f>28.3359 * CHOOSE(CONTROL!$C$9, $C$13, 100%, $E$13) + CHOOSE(CONTROL!$C$28, 0, 0)</f>
        <v>28.335899999999999</v>
      </c>
      <c r="E155" s="4">
        <f>124.227507473822 * CHOOSE(CONTROL!$C$9, $C$13, 100%, $E$13) + CHOOSE(CONTROL!$C$28, 0, 0)</f>
        <v>124.227507473822</v>
      </c>
    </row>
    <row r="156" spans="1:5" ht="15">
      <c r="A156" s="13">
        <v>46235</v>
      </c>
      <c r="B156" s="4">
        <f>20.4127 * CHOOSE(CONTROL!$C$9, $C$13, 100%, $E$13) + CHOOSE(CONTROL!$C$28, 0.0311, 0)</f>
        <v>20.4438</v>
      </c>
      <c r="C156" s="4">
        <f>20.0494 * CHOOSE(CONTROL!$C$9, $C$13, 100%, $E$13) + CHOOSE(CONTROL!$C$28, 0.0311, 0)</f>
        <v>20.080499999999997</v>
      </c>
      <c r="D156" s="4">
        <f>28.052 * CHOOSE(CONTROL!$C$9, $C$13, 100%, $E$13) + CHOOSE(CONTROL!$C$28, 0, 0)</f>
        <v>28.052</v>
      </c>
      <c r="E156" s="4">
        <f>127.201774078151 * CHOOSE(CONTROL!$C$9, $C$13, 100%, $E$13) + CHOOSE(CONTROL!$C$28, 0, 0)</f>
        <v>127.201774078151</v>
      </c>
    </row>
    <row r="157" spans="1:5" ht="15">
      <c r="A157" s="13">
        <v>46266</v>
      </c>
      <c r="B157" s="4">
        <f>19.6301 * CHOOSE(CONTROL!$C$9, $C$13, 100%, $E$13) + CHOOSE(CONTROL!$C$28, 0.0311, 0)</f>
        <v>19.661199999999997</v>
      </c>
      <c r="C157" s="4">
        <f>19.2668 * CHOOSE(CONTROL!$C$9, $C$13, 100%, $E$13) + CHOOSE(CONTROL!$C$28, 0.0311, 0)</f>
        <v>19.297899999999998</v>
      </c>
      <c r="D157" s="4">
        <f>27.9179 * CHOOSE(CONTROL!$C$9, $C$13, 100%, $E$13) + CHOOSE(CONTROL!$C$28, 0, 0)</f>
        <v>27.917899999999999</v>
      </c>
      <c r="E157" s="4">
        <f>122.132675181073 * CHOOSE(CONTROL!$C$9, $C$13, 100%, $E$13) + CHOOSE(CONTROL!$C$28, 0, 0)</f>
        <v>122.132675181073</v>
      </c>
    </row>
    <row r="158" spans="1:5" ht="15">
      <c r="A158" s="13">
        <v>46296</v>
      </c>
      <c r="B158" s="4">
        <f>19.0035 * CHOOSE(CONTROL!$C$9, $C$13, 100%, $E$13) + CHOOSE(CONTROL!$C$28, 0.0003, 0)</f>
        <v>19.003799999999998</v>
      </c>
      <c r="C158" s="4">
        <f>18.6403 * CHOOSE(CONTROL!$C$9, $C$13, 100%, $E$13) + CHOOSE(CONTROL!$C$28, 0.0003, 0)</f>
        <v>18.640599999999999</v>
      </c>
      <c r="D158" s="4">
        <f>27.5587 * CHOOSE(CONTROL!$C$9, $C$13, 100%, $E$13) + CHOOSE(CONTROL!$C$28, 0, 0)</f>
        <v>27.558700000000002</v>
      </c>
      <c r="E158" s="4">
        <f>118.074761054236 * CHOOSE(CONTROL!$C$9, $C$13, 100%, $E$13) + CHOOSE(CONTROL!$C$28, 0, 0)</f>
        <v>118.07476105423601</v>
      </c>
    </row>
    <row r="159" spans="1:5" ht="15">
      <c r="A159" s="13">
        <v>46327</v>
      </c>
      <c r="B159" s="4">
        <f>18.6 * CHOOSE(CONTROL!$C$9, $C$13, 100%, $E$13) + CHOOSE(CONTROL!$C$28, 0.0003, 0)</f>
        <v>18.600300000000001</v>
      </c>
      <c r="C159" s="4">
        <f>18.2367 * CHOOSE(CONTROL!$C$9, $C$13, 100%, $E$13) + CHOOSE(CONTROL!$C$28, 0.0003, 0)</f>
        <v>18.236999999999998</v>
      </c>
      <c r="D159" s="4">
        <f>27.4352 * CHOOSE(CONTROL!$C$9, $C$13, 100%, $E$13) + CHOOSE(CONTROL!$C$28, 0, 0)</f>
        <v>27.435199999999998</v>
      </c>
      <c r="E159" s="4">
        <f>115.461161330499 * CHOOSE(CONTROL!$C$9, $C$13, 100%, $E$13) + CHOOSE(CONTROL!$C$28, 0, 0)</f>
        <v>115.461161330499</v>
      </c>
    </row>
    <row r="160" spans="1:5" ht="15">
      <c r="A160" s="13">
        <v>46357</v>
      </c>
      <c r="B160" s="4">
        <f>18.3208 * CHOOSE(CONTROL!$C$9, $C$13, 100%, $E$13) + CHOOSE(CONTROL!$C$28, 0.0003, 0)</f>
        <v>18.321099999999998</v>
      </c>
      <c r="C160" s="4">
        <f>17.9575 * CHOOSE(CONTROL!$C$9, $C$13, 100%, $E$13) + CHOOSE(CONTROL!$C$28, 0.0003, 0)</f>
        <v>17.957799999999999</v>
      </c>
      <c r="D160" s="4">
        <f>26.5262 * CHOOSE(CONTROL!$C$9, $C$13, 100%, $E$13) + CHOOSE(CONTROL!$C$28, 0, 0)</f>
        <v>26.526199999999999</v>
      </c>
      <c r="E160" s="4">
        <f>113.652886285342 * CHOOSE(CONTROL!$C$9, $C$13, 100%, $E$13) + CHOOSE(CONTROL!$C$28, 0, 0)</f>
        <v>113.65288628534201</v>
      </c>
    </row>
    <row r="161" spans="1:5" ht="15">
      <c r="A161" s="13">
        <v>46388</v>
      </c>
      <c r="B161" s="4">
        <f>17.8331 * CHOOSE(CONTROL!$C$9, $C$13, 100%, $E$13) + CHOOSE(CONTROL!$C$28, 0.0003, 0)</f>
        <v>17.833400000000001</v>
      </c>
      <c r="C161" s="4">
        <f>17.4698 * CHOOSE(CONTROL!$C$9, $C$13, 100%, $E$13) + CHOOSE(CONTROL!$C$28, 0.0003, 0)</f>
        <v>17.470099999999999</v>
      </c>
      <c r="D161" s="4">
        <f>25.7979 * CHOOSE(CONTROL!$C$9, $C$13, 100%, $E$13) + CHOOSE(CONTROL!$C$28, 0, 0)</f>
        <v>25.797899999999998</v>
      </c>
      <c r="E161" s="4">
        <f>110.503886973775 * CHOOSE(CONTROL!$C$9, $C$13, 100%, $E$13) + CHOOSE(CONTROL!$C$28, 0, 0)</f>
        <v>110.503886973775</v>
      </c>
    </row>
    <row r="162" spans="1:5" ht="15">
      <c r="A162" s="13">
        <v>46419</v>
      </c>
      <c r="B162" s="4">
        <f>18.2382 * CHOOSE(CONTROL!$C$9, $C$13, 100%, $E$13) + CHOOSE(CONTROL!$C$28, 0.0003, 0)</f>
        <v>18.238499999999998</v>
      </c>
      <c r="C162" s="4">
        <f>17.8749 * CHOOSE(CONTROL!$C$9, $C$13, 100%, $E$13) + CHOOSE(CONTROL!$C$28, 0.0003, 0)</f>
        <v>17.8752</v>
      </c>
      <c r="D162" s="4">
        <f>26.6431 * CHOOSE(CONTROL!$C$9, $C$13, 100%, $E$13) + CHOOSE(CONTROL!$C$28, 0, 0)</f>
        <v>26.6431</v>
      </c>
      <c r="E162" s="4">
        <f>113.127684736344 * CHOOSE(CONTROL!$C$9, $C$13, 100%, $E$13) + CHOOSE(CONTROL!$C$28, 0, 0)</f>
        <v>113.12768473634399</v>
      </c>
    </row>
    <row r="163" spans="1:5" ht="15">
      <c r="A163" s="13">
        <v>46447</v>
      </c>
      <c r="B163" s="4">
        <f>19.3019 * CHOOSE(CONTROL!$C$9, $C$13, 100%, $E$13) + CHOOSE(CONTROL!$C$28, 0.0003, 0)</f>
        <v>19.302199999999999</v>
      </c>
      <c r="C163" s="4">
        <f>18.9386 * CHOOSE(CONTROL!$C$9, $C$13, 100%, $E$13) + CHOOSE(CONTROL!$C$28, 0.0003, 0)</f>
        <v>18.9389</v>
      </c>
      <c r="D163" s="4">
        <f>27.9661 * CHOOSE(CONTROL!$C$9, $C$13, 100%, $E$13) + CHOOSE(CONTROL!$C$28, 0, 0)</f>
        <v>27.966100000000001</v>
      </c>
      <c r="E163" s="4">
        <f>120.017917097931 * CHOOSE(CONTROL!$C$9, $C$13, 100%, $E$13) + CHOOSE(CONTROL!$C$28, 0, 0)</f>
        <v>120.017917097931</v>
      </c>
    </row>
    <row r="164" spans="1:5" ht="15">
      <c r="A164" s="13">
        <v>46478</v>
      </c>
      <c r="B164" s="4">
        <f>20.0577 * CHOOSE(CONTROL!$C$9, $C$13, 100%, $E$13) + CHOOSE(CONTROL!$C$28, 0.0003, 0)</f>
        <v>20.058</v>
      </c>
      <c r="C164" s="4">
        <f>19.6944 * CHOOSE(CONTROL!$C$9, $C$13, 100%, $E$13) + CHOOSE(CONTROL!$C$28, 0.0003, 0)</f>
        <v>19.694700000000001</v>
      </c>
      <c r="D164" s="4">
        <f>28.7282 * CHOOSE(CONTROL!$C$9, $C$13, 100%, $E$13) + CHOOSE(CONTROL!$C$28, 0, 0)</f>
        <v>28.728200000000001</v>
      </c>
      <c r="E164" s="4">
        <f>124.913519015258 * CHOOSE(CONTROL!$C$9, $C$13, 100%, $E$13) + CHOOSE(CONTROL!$C$28, 0, 0)</f>
        <v>124.913519015258</v>
      </c>
    </row>
    <row r="165" spans="1:5" ht="15">
      <c r="A165" s="13">
        <v>46508</v>
      </c>
      <c r="B165" s="4">
        <f>20.5195 * CHOOSE(CONTROL!$C$9, $C$13, 100%, $E$13) + CHOOSE(CONTROL!$C$28, 0.0311, 0)</f>
        <v>20.550599999999999</v>
      </c>
      <c r="C165" s="4">
        <f>20.1562 * CHOOSE(CONTROL!$C$9, $C$13, 100%, $E$13) + CHOOSE(CONTROL!$C$28, 0.0311, 0)</f>
        <v>20.187299999999997</v>
      </c>
      <c r="D165" s="4">
        <f>28.427 * CHOOSE(CONTROL!$C$9, $C$13, 100%, $E$13) + CHOOSE(CONTROL!$C$28, 0, 0)</f>
        <v>28.427</v>
      </c>
      <c r="E165" s="4">
        <f>127.904614455542 * CHOOSE(CONTROL!$C$9, $C$13, 100%, $E$13) + CHOOSE(CONTROL!$C$28, 0, 0)</f>
        <v>127.904614455542</v>
      </c>
    </row>
    <row r="166" spans="1:5" ht="15">
      <c r="A166" s="13">
        <v>46539</v>
      </c>
      <c r="B166" s="4">
        <f>20.5819 * CHOOSE(CONTROL!$C$9, $C$13, 100%, $E$13) + CHOOSE(CONTROL!$C$28, 0.0311, 0)</f>
        <v>20.613</v>
      </c>
      <c r="C166" s="4">
        <f>20.2187 * CHOOSE(CONTROL!$C$9, $C$13, 100%, $E$13) + CHOOSE(CONTROL!$C$28, 0.0311, 0)</f>
        <v>20.249799999999997</v>
      </c>
      <c r="D166" s="4">
        <f>28.6723 * CHOOSE(CONTROL!$C$9, $C$13, 100%, $E$13) + CHOOSE(CONTROL!$C$28, 0, 0)</f>
        <v>28.6723</v>
      </c>
      <c r="E166" s="4">
        <f>128.309322081914 * CHOOSE(CONTROL!$C$9, $C$13, 100%, $E$13) + CHOOSE(CONTROL!$C$28, 0, 0)</f>
        <v>128.30932208191399</v>
      </c>
    </row>
    <row r="167" spans="1:5" ht="15">
      <c r="A167" s="13">
        <v>46569</v>
      </c>
      <c r="B167" s="4">
        <f>20.5756 * CHOOSE(CONTROL!$C$9, $C$13, 100%, $E$13) + CHOOSE(CONTROL!$C$28, 0.0311, 0)</f>
        <v>20.6067</v>
      </c>
      <c r="C167" s="4">
        <f>20.2124 * CHOOSE(CONTROL!$C$9, $C$13, 100%, $E$13) + CHOOSE(CONTROL!$C$28, 0.0311, 0)</f>
        <v>20.243499999999997</v>
      </c>
      <c r="D167" s="4">
        <f>29.1148 * CHOOSE(CONTROL!$C$9, $C$13, 100%, $E$13) + CHOOSE(CONTROL!$C$28, 0, 0)</f>
        <v>29.114799999999999</v>
      </c>
      <c r="E167" s="4">
        <f>128.268511228834 * CHOOSE(CONTROL!$C$9, $C$13, 100%, $E$13) + CHOOSE(CONTROL!$C$28, 0, 0)</f>
        <v>128.268511228834</v>
      </c>
    </row>
    <row r="168" spans="1:5" ht="15">
      <c r="A168" s="13">
        <v>46600</v>
      </c>
      <c r="B168" s="4">
        <f>21.0497 * CHOOSE(CONTROL!$C$9, $C$13, 100%, $E$13) + CHOOSE(CONTROL!$C$28, 0.0311, 0)</f>
        <v>21.0808</v>
      </c>
      <c r="C168" s="4">
        <f>20.6865 * CHOOSE(CONTROL!$C$9, $C$13, 100%, $E$13) + CHOOSE(CONTROL!$C$28, 0.0311, 0)</f>
        <v>20.717599999999997</v>
      </c>
      <c r="D168" s="4">
        <f>28.8226 * CHOOSE(CONTROL!$C$9, $C$13, 100%, $E$13) + CHOOSE(CONTROL!$C$28, 0, 0)</f>
        <v>28.822600000000001</v>
      </c>
      <c r="E168" s="4">
        <f>131.339527923066 * CHOOSE(CONTROL!$C$9, $C$13, 100%, $E$13) + CHOOSE(CONTROL!$C$28, 0, 0)</f>
        <v>131.33952792306599</v>
      </c>
    </row>
    <row r="169" spans="1:5" ht="15">
      <c r="A169" s="13">
        <v>46631</v>
      </c>
      <c r="B169" s="4">
        <f>20.2417 * CHOOSE(CONTROL!$C$9, $C$13, 100%, $E$13) + CHOOSE(CONTROL!$C$28, 0.0311, 0)</f>
        <v>20.2728</v>
      </c>
      <c r="C169" s="4">
        <f>19.8784 * CHOOSE(CONTROL!$C$9, $C$13, 100%, $E$13) + CHOOSE(CONTROL!$C$28, 0.0311, 0)</f>
        <v>19.909499999999998</v>
      </c>
      <c r="D169" s="4">
        <f>28.6845 * CHOOSE(CONTROL!$C$9, $C$13, 100%, $E$13) + CHOOSE(CONTROL!$C$28, 0, 0)</f>
        <v>28.6845</v>
      </c>
      <c r="E169" s="4">
        <f>126.105536015621 * CHOOSE(CONTROL!$C$9, $C$13, 100%, $E$13) + CHOOSE(CONTROL!$C$28, 0, 0)</f>
        <v>126.105536015621</v>
      </c>
    </row>
    <row r="170" spans="1:5" ht="15">
      <c r="A170" s="13">
        <v>46661</v>
      </c>
      <c r="B170" s="4">
        <f>19.5949 * CHOOSE(CONTROL!$C$9, $C$13, 100%, $E$13) + CHOOSE(CONTROL!$C$28, 0.0003, 0)</f>
        <v>19.595199999999998</v>
      </c>
      <c r="C170" s="4">
        <f>19.2316 * CHOOSE(CONTROL!$C$9, $C$13, 100%, $E$13) + CHOOSE(CONTROL!$C$28, 0.0003, 0)</f>
        <v>19.2319</v>
      </c>
      <c r="D170" s="4">
        <f>28.3148 * CHOOSE(CONTROL!$C$9, $C$13, 100%, $E$13) + CHOOSE(CONTROL!$C$28, 0, 0)</f>
        <v>28.314800000000002</v>
      </c>
      <c r="E170" s="4">
        <f>121.915621766127 * CHOOSE(CONTROL!$C$9, $C$13, 100%, $E$13) + CHOOSE(CONTROL!$C$28, 0, 0)</f>
        <v>121.915621766127</v>
      </c>
    </row>
    <row r="171" spans="1:5" ht="15">
      <c r="A171" s="13">
        <v>46692</v>
      </c>
      <c r="B171" s="4">
        <f>19.1783 * CHOOSE(CONTROL!$C$9, $C$13, 100%, $E$13) + CHOOSE(CONTROL!$C$28, 0.0003, 0)</f>
        <v>19.178599999999999</v>
      </c>
      <c r="C171" s="4">
        <f>18.815 * CHOOSE(CONTROL!$C$9, $C$13, 100%, $E$13) + CHOOSE(CONTROL!$C$28, 0.0003, 0)</f>
        <v>18.815300000000001</v>
      </c>
      <c r="D171" s="4">
        <f>28.1877 * CHOOSE(CONTROL!$C$9, $C$13, 100%, $E$13) + CHOOSE(CONTROL!$C$28, 0, 0)</f>
        <v>28.1877</v>
      </c>
      <c r="E171" s="4">
        <f>119.217004106246 * CHOOSE(CONTROL!$C$9, $C$13, 100%, $E$13) + CHOOSE(CONTROL!$C$28, 0, 0)</f>
        <v>119.21700410624599</v>
      </c>
    </row>
    <row r="172" spans="1:5" ht="15">
      <c r="A172" s="13">
        <v>46722</v>
      </c>
      <c r="B172" s="4">
        <f>18.89 * CHOOSE(CONTROL!$C$9, $C$13, 100%, $E$13) + CHOOSE(CONTROL!$C$28, 0.0003, 0)</f>
        <v>18.8903</v>
      </c>
      <c r="C172" s="4">
        <f>18.5267 * CHOOSE(CONTROL!$C$9, $C$13, 100%, $E$13) + CHOOSE(CONTROL!$C$28, 0.0003, 0)</f>
        <v>18.527000000000001</v>
      </c>
      <c r="D172" s="4">
        <f>27.2519 * CHOOSE(CONTROL!$C$9, $C$13, 100%, $E$13) + CHOOSE(CONTROL!$C$28, 0, 0)</f>
        <v>27.251899999999999</v>
      </c>
      <c r="E172" s="4">
        <f>117.349907577859 * CHOOSE(CONTROL!$C$9, $C$13, 100%, $E$13) + CHOOSE(CONTROL!$C$28, 0, 0)</f>
        <v>117.349907577859</v>
      </c>
    </row>
    <row r="173" spans="1:5" ht="15">
      <c r="A173" s="13">
        <v>46753</v>
      </c>
      <c r="B173" s="4">
        <f>18.3338 * CHOOSE(CONTROL!$C$9, $C$13, 100%, $E$13) + CHOOSE(CONTROL!$C$28, 0.0003, 0)</f>
        <v>18.334099999999999</v>
      </c>
      <c r="C173" s="4">
        <f>17.9706 * CHOOSE(CONTROL!$C$9, $C$13, 100%, $E$13) + CHOOSE(CONTROL!$C$28, 0.0003, 0)</f>
        <v>17.9709</v>
      </c>
      <c r="D173" s="4">
        <f>26.4281 * CHOOSE(CONTROL!$C$9, $C$13, 100%, $E$13) + CHOOSE(CONTROL!$C$28, 0, 0)</f>
        <v>26.428100000000001</v>
      </c>
      <c r="E173" s="4">
        <f>113.984843818042 * CHOOSE(CONTROL!$C$9, $C$13, 100%, $E$13) + CHOOSE(CONTROL!$C$28, 0, 0)</f>
        <v>113.98484381804199</v>
      </c>
    </row>
    <row r="174" spans="1:5" ht="15">
      <c r="A174" s="13">
        <v>46784</v>
      </c>
      <c r="B174" s="4">
        <f>18.7508 * CHOOSE(CONTROL!$C$9, $C$13, 100%, $E$13) + CHOOSE(CONTROL!$C$28, 0.0003, 0)</f>
        <v>18.751100000000001</v>
      </c>
      <c r="C174" s="4">
        <f>18.3875 * CHOOSE(CONTROL!$C$9, $C$13, 100%, $E$13) + CHOOSE(CONTROL!$C$28, 0.0003, 0)</f>
        <v>18.387799999999999</v>
      </c>
      <c r="D174" s="4">
        <f>27.2955 * CHOOSE(CONTROL!$C$9, $C$13, 100%, $E$13) + CHOOSE(CONTROL!$C$28, 0, 0)</f>
        <v>27.295500000000001</v>
      </c>
      <c r="E174" s="4">
        <f>116.691293214229 * CHOOSE(CONTROL!$C$9, $C$13, 100%, $E$13) + CHOOSE(CONTROL!$C$28, 0, 0)</f>
        <v>116.69129321422901</v>
      </c>
    </row>
    <row r="175" spans="1:5" ht="15">
      <c r="A175" s="13">
        <v>46813</v>
      </c>
      <c r="B175" s="4">
        <f>19.8457 * CHOOSE(CONTROL!$C$9, $C$13, 100%, $E$13) + CHOOSE(CONTROL!$C$28, 0.0003, 0)</f>
        <v>19.846</v>
      </c>
      <c r="C175" s="4">
        <f>19.4824 * CHOOSE(CONTROL!$C$9, $C$13, 100%, $E$13) + CHOOSE(CONTROL!$C$28, 0.0003, 0)</f>
        <v>19.482699999999998</v>
      </c>
      <c r="D175" s="4">
        <f>28.6533 * CHOOSE(CONTROL!$C$9, $C$13, 100%, $E$13) + CHOOSE(CONTROL!$C$28, 0, 0)</f>
        <v>28.653300000000002</v>
      </c>
      <c r="E175" s="4">
        <f>123.798573158073 * CHOOSE(CONTROL!$C$9, $C$13, 100%, $E$13) + CHOOSE(CONTROL!$C$28, 0, 0)</f>
        <v>123.798573158073</v>
      </c>
    </row>
    <row r="176" spans="1:5" ht="15">
      <c r="A176" s="13">
        <v>46844</v>
      </c>
      <c r="B176" s="4">
        <f>20.6237 * CHOOSE(CONTROL!$C$9, $C$13, 100%, $E$13) + CHOOSE(CONTROL!$C$28, 0.0003, 0)</f>
        <v>20.623999999999999</v>
      </c>
      <c r="C176" s="4">
        <f>20.2604 * CHOOSE(CONTROL!$C$9, $C$13, 100%, $E$13) + CHOOSE(CONTROL!$C$28, 0.0003, 0)</f>
        <v>20.2607</v>
      </c>
      <c r="D176" s="4">
        <f>29.4355 * CHOOSE(CONTROL!$C$9, $C$13, 100%, $E$13) + CHOOSE(CONTROL!$C$28, 0, 0)</f>
        <v>29.435500000000001</v>
      </c>
      <c r="E176" s="4">
        <f>128.848390275133 * CHOOSE(CONTROL!$C$9, $C$13, 100%, $E$13) + CHOOSE(CONTROL!$C$28, 0, 0)</f>
        <v>128.848390275133</v>
      </c>
    </row>
    <row r="177" spans="1:5" ht="15">
      <c r="A177" s="13">
        <v>46874</v>
      </c>
      <c r="B177" s="4">
        <f>21.099 * CHOOSE(CONTROL!$C$9, $C$13, 100%, $E$13) + CHOOSE(CONTROL!$C$28, 0.0311, 0)</f>
        <v>21.130099999999999</v>
      </c>
      <c r="C177" s="4">
        <f>20.7357 * CHOOSE(CONTROL!$C$9, $C$13, 100%, $E$13) + CHOOSE(CONTROL!$C$28, 0.0311, 0)</f>
        <v>20.7668</v>
      </c>
      <c r="D177" s="4">
        <f>29.1264 * CHOOSE(CONTROL!$C$9, $C$13, 100%, $E$13) + CHOOSE(CONTROL!$C$28, 0, 0)</f>
        <v>29.1264</v>
      </c>
      <c r="E177" s="4">
        <f>131.933707506432 * CHOOSE(CONTROL!$C$9, $C$13, 100%, $E$13) + CHOOSE(CONTROL!$C$28, 0, 0)</f>
        <v>131.933707506432</v>
      </c>
    </row>
    <row r="178" spans="1:5" ht="15">
      <c r="A178" s="13">
        <v>46905</v>
      </c>
      <c r="B178" s="4">
        <f>21.1633 * CHOOSE(CONTROL!$C$9, $C$13, 100%, $E$13) + CHOOSE(CONTROL!$C$28, 0.0311, 0)</f>
        <v>21.194399999999998</v>
      </c>
      <c r="C178" s="4">
        <f>20.8001 * CHOOSE(CONTROL!$C$9, $C$13, 100%, $E$13) + CHOOSE(CONTROL!$C$28, 0.0311, 0)</f>
        <v>20.831199999999999</v>
      </c>
      <c r="D178" s="4">
        <f>29.3781 * CHOOSE(CONTROL!$C$9, $C$13, 100%, $E$13) + CHOOSE(CONTROL!$C$28, 0, 0)</f>
        <v>29.3781</v>
      </c>
      <c r="E178" s="4">
        <f>132.351163732156 * CHOOSE(CONTROL!$C$9, $C$13, 100%, $E$13) + CHOOSE(CONTROL!$C$28, 0, 0)</f>
        <v>132.35116373215601</v>
      </c>
    </row>
    <row r="179" spans="1:5" ht="15">
      <c r="A179" s="13">
        <v>46935</v>
      </c>
      <c r="B179" s="4">
        <f>21.1568 * CHOOSE(CONTROL!$C$9, $C$13, 100%, $E$13) + CHOOSE(CONTROL!$C$28, 0.0311, 0)</f>
        <v>21.187899999999999</v>
      </c>
      <c r="C179" s="4">
        <f>20.7936 * CHOOSE(CONTROL!$C$9, $C$13, 100%, $E$13) + CHOOSE(CONTROL!$C$28, 0.0311, 0)</f>
        <v>20.8247</v>
      </c>
      <c r="D179" s="4">
        <f>29.8323 * CHOOSE(CONTROL!$C$9, $C$13, 100%, $E$13) + CHOOSE(CONTROL!$C$28, 0, 0)</f>
        <v>29.8323</v>
      </c>
      <c r="E179" s="4">
        <f>132.309067306032 * CHOOSE(CONTROL!$C$9, $C$13, 100%, $E$13) + CHOOSE(CONTROL!$C$28, 0, 0)</f>
        <v>132.30906730603201</v>
      </c>
    </row>
    <row r="180" spans="1:5" ht="15">
      <c r="A180" s="13">
        <v>46966</v>
      </c>
      <c r="B180" s="4">
        <f>21.6449 * CHOOSE(CONTROL!$C$9, $C$13, 100%, $E$13) + CHOOSE(CONTROL!$C$28, 0.0311, 0)</f>
        <v>21.675999999999998</v>
      </c>
      <c r="C180" s="4">
        <f>21.2816 * CHOOSE(CONTROL!$C$9, $C$13, 100%, $E$13) + CHOOSE(CONTROL!$C$28, 0.0311, 0)</f>
        <v>21.3127</v>
      </c>
      <c r="D180" s="4">
        <f>29.5324 * CHOOSE(CONTROL!$C$9, $C$13, 100%, $E$13) + CHOOSE(CONTROL!$C$28, 0, 0)</f>
        <v>29.532399999999999</v>
      </c>
      <c r="E180" s="4">
        <f>135.476823371823 * CHOOSE(CONTROL!$C$9, $C$13, 100%, $E$13) + CHOOSE(CONTROL!$C$28, 0, 0)</f>
        <v>135.476823371823</v>
      </c>
    </row>
    <row r="181" spans="1:5" ht="15">
      <c r="A181" s="13">
        <v>46997</v>
      </c>
      <c r="B181" s="4">
        <f>20.8131 * CHOOSE(CONTROL!$C$9, $C$13, 100%, $E$13) + CHOOSE(CONTROL!$C$28, 0.0311, 0)</f>
        <v>20.844199999999997</v>
      </c>
      <c r="C181" s="4">
        <f>20.4498 * CHOOSE(CONTROL!$C$9, $C$13, 100%, $E$13) + CHOOSE(CONTROL!$C$28, 0.0311, 0)</f>
        <v>20.480899999999998</v>
      </c>
      <c r="D181" s="4">
        <f>29.3906 * CHOOSE(CONTROL!$C$9, $C$13, 100%, $E$13) + CHOOSE(CONTROL!$C$28, 0, 0)</f>
        <v>29.390599999999999</v>
      </c>
      <c r="E181" s="4">
        <f>130.077956721489 * CHOOSE(CONTROL!$C$9, $C$13, 100%, $E$13) + CHOOSE(CONTROL!$C$28, 0, 0)</f>
        <v>130.07795672148899</v>
      </c>
    </row>
    <row r="182" spans="1:5" ht="15">
      <c r="A182" s="13">
        <v>47027</v>
      </c>
      <c r="B182" s="4">
        <f>20.1473 * CHOOSE(CONTROL!$C$9, $C$13, 100%, $E$13) + CHOOSE(CONTROL!$C$28, 0.0003, 0)</f>
        <v>20.147600000000001</v>
      </c>
      <c r="C182" s="4">
        <f>19.784 * CHOOSE(CONTROL!$C$9, $C$13, 100%, $E$13) + CHOOSE(CONTROL!$C$28, 0.0003, 0)</f>
        <v>19.784299999999998</v>
      </c>
      <c r="D182" s="4">
        <f>29.0112 * CHOOSE(CONTROL!$C$9, $C$13, 100%, $E$13) + CHOOSE(CONTROL!$C$28, 0, 0)</f>
        <v>29.011199999999999</v>
      </c>
      <c r="E182" s="4">
        <f>125.756056972814 * CHOOSE(CONTROL!$C$9, $C$13, 100%, $E$13) + CHOOSE(CONTROL!$C$28, 0, 0)</f>
        <v>125.75605697281399</v>
      </c>
    </row>
    <row r="183" spans="1:5" ht="15">
      <c r="A183" s="13">
        <v>47058</v>
      </c>
      <c r="B183" s="4">
        <f>19.7185 * CHOOSE(CONTROL!$C$9, $C$13, 100%, $E$13) + CHOOSE(CONTROL!$C$28, 0.0003, 0)</f>
        <v>19.718799999999998</v>
      </c>
      <c r="C183" s="4">
        <f>19.3552 * CHOOSE(CONTROL!$C$9, $C$13, 100%, $E$13) + CHOOSE(CONTROL!$C$28, 0.0003, 0)</f>
        <v>19.355499999999999</v>
      </c>
      <c r="D183" s="4">
        <f>28.8807 * CHOOSE(CONTROL!$C$9, $C$13, 100%, $E$13) + CHOOSE(CONTROL!$C$28, 0, 0)</f>
        <v>28.880700000000001</v>
      </c>
      <c r="E183" s="4">
        <f>122.9724307954 * CHOOSE(CONTROL!$C$9, $C$13, 100%, $E$13) + CHOOSE(CONTROL!$C$28, 0, 0)</f>
        <v>122.9724307954</v>
      </c>
    </row>
    <row r="184" spans="1:5" ht="15">
      <c r="A184" s="13">
        <v>47088</v>
      </c>
      <c r="B184" s="4">
        <f>19.4218 * CHOOSE(CONTROL!$C$9, $C$13, 100%, $E$13) + CHOOSE(CONTROL!$C$28, 0.0003, 0)</f>
        <v>19.4221</v>
      </c>
      <c r="C184" s="4">
        <f>19.0585 * CHOOSE(CONTROL!$C$9, $C$13, 100%, $E$13) + CHOOSE(CONTROL!$C$28, 0.0003, 0)</f>
        <v>19.058799999999998</v>
      </c>
      <c r="D184" s="4">
        <f>27.9203 * CHOOSE(CONTROL!$C$9, $C$13, 100%, $E$13) + CHOOSE(CONTROL!$C$28, 0, 0)</f>
        <v>27.920300000000001</v>
      </c>
      <c r="E184" s="4">
        <f>121.046519300252 * CHOOSE(CONTROL!$C$9, $C$13, 100%, $E$13) + CHOOSE(CONTROL!$C$28, 0, 0)</f>
        <v>121.046519300252</v>
      </c>
    </row>
    <row r="185" spans="1:5" ht="15">
      <c r="A185" s="13">
        <v>47119</v>
      </c>
      <c r="B185" s="4">
        <f>18.8769 * CHOOSE(CONTROL!$C$9, $C$13, 100%, $E$13) + CHOOSE(CONTROL!$C$28, 0.0003, 0)</f>
        <v>18.877199999999998</v>
      </c>
      <c r="C185" s="4">
        <f>18.5136 * CHOOSE(CONTROL!$C$9, $C$13, 100%, $E$13) + CHOOSE(CONTROL!$C$28, 0.0003, 0)</f>
        <v>18.5139</v>
      </c>
      <c r="D185" s="4">
        <f>27.0121 * CHOOSE(CONTROL!$C$9, $C$13, 100%, $E$13) + CHOOSE(CONTROL!$C$28, 0, 0)</f>
        <v>27.0121</v>
      </c>
      <c r="E185" s="4">
        <f>117.465394324666 * CHOOSE(CONTROL!$C$9, $C$13, 100%, $E$13) + CHOOSE(CONTROL!$C$28, 0, 0)</f>
        <v>117.46539432466599</v>
      </c>
    </row>
    <row r="186" spans="1:5" ht="15">
      <c r="A186" s="13">
        <v>47150</v>
      </c>
      <c r="B186" s="4">
        <f>19.3067 * CHOOSE(CONTROL!$C$9, $C$13, 100%, $E$13) + CHOOSE(CONTROL!$C$28, 0.0003, 0)</f>
        <v>19.306999999999999</v>
      </c>
      <c r="C186" s="4">
        <f>18.9434 * CHOOSE(CONTROL!$C$9, $C$13, 100%, $E$13) + CHOOSE(CONTROL!$C$28, 0.0003, 0)</f>
        <v>18.9437</v>
      </c>
      <c r="D186" s="4">
        <f>27.9001 * CHOOSE(CONTROL!$C$9, $C$13, 100%, $E$13) + CHOOSE(CONTROL!$C$28, 0, 0)</f>
        <v>27.900099999999998</v>
      </c>
      <c r="E186" s="4">
        <f>120.254485706415 * CHOOSE(CONTROL!$C$9, $C$13, 100%, $E$13) + CHOOSE(CONTROL!$C$28, 0, 0)</f>
        <v>120.254485706415</v>
      </c>
    </row>
    <row r="187" spans="1:5" ht="15">
      <c r="A187" s="13">
        <v>47178</v>
      </c>
      <c r="B187" s="4">
        <f>20.4355 * CHOOSE(CONTROL!$C$9, $C$13, 100%, $E$13) + CHOOSE(CONTROL!$C$28, 0.0003, 0)</f>
        <v>20.4358</v>
      </c>
      <c r="C187" s="4">
        <f>20.0722 * CHOOSE(CONTROL!$C$9, $C$13, 100%, $E$13) + CHOOSE(CONTROL!$C$28, 0.0003, 0)</f>
        <v>20.072499999999998</v>
      </c>
      <c r="D187" s="4">
        <f>29.2902 * CHOOSE(CONTROL!$C$9, $C$13, 100%, $E$13) + CHOOSE(CONTROL!$C$28, 0, 0)</f>
        <v>29.290199999999999</v>
      </c>
      <c r="E187" s="4">
        <f>127.578787896205 * CHOOSE(CONTROL!$C$9, $C$13, 100%, $E$13) + CHOOSE(CONTROL!$C$28, 0, 0)</f>
        <v>127.578787896205</v>
      </c>
    </row>
    <row r="188" spans="1:5" ht="15">
      <c r="A188" s="13">
        <v>47209</v>
      </c>
      <c r="B188" s="4">
        <f>21.2375 * CHOOSE(CONTROL!$C$9, $C$13, 100%, $E$13) + CHOOSE(CONTROL!$C$28, 0.0003, 0)</f>
        <v>21.2378</v>
      </c>
      <c r="C188" s="4">
        <f>20.8743 * CHOOSE(CONTROL!$C$9, $C$13, 100%, $E$13) + CHOOSE(CONTROL!$C$28, 0.0003, 0)</f>
        <v>20.874600000000001</v>
      </c>
      <c r="D188" s="4">
        <f>30.091 * CHOOSE(CONTROL!$C$9, $C$13, 100%, $E$13) + CHOOSE(CONTROL!$C$28, 0, 0)</f>
        <v>30.091000000000001</v>
      </c>
      <c r="E188" s="4">
        <f>132.782802211212 * CHOOSE(CONTROL!$C$9, $C$13, 100%, $E$13) + CHOOSE(CONTROL!$C$28, 0, 0)</f>
        <v>132.78280221121199</v>
      </c>
    </row>
    <row r="189" spans="1:5" ht="15">
      <c r="A189" s="13">
        <v>47239</v>
      </c>
      <c r="B189" s="4">
        <f>21.7276 * CHOOSE(CONTROL!$C$9, $C$13, 100%, $E$13) + CHOOSE(CONTROL!$C$28, 0.0311, 0)</f>
        <v>21.758699999999997</v>
      </c>
      <c r="C189" s="4">
        <f>21.3643 * CHOOSE(CONTROL!$C$9, $C$13, 100%, $E$13) + CHOOSE(CONTROL!$C$28, 0.0311, 0)</f>
        <v>21.395399999999999</v>
      </c>
      <c r="D189" s="4">
        <f>29.7746 * CHOOSE(CONTROL!$C$9, $C$13, 100%, $E$13) + CHOOSE(CONTROL!$C$28, 0, 0)</f>
        <v>29.7746</v>
      </c>
      <c r="E189" s="4">
        <f>135.962330234865 * CHOOSE(CONTROL!$C$9, $C$13, 100%, $E$13) + CHOOSE(CONTROL!$C$28, 0, 0)</f>
        <v>135.96233023486499</v>
      </c>
    </row>
    <row r="190" spans="1:5" ht="15">
      <c r="A190" s="13">
        <v>47270</v>
      </c>
      <c r="B190" s="4">
        <f>21.7939 * CHOOSE(CONTROL!$C$9, $C$13, 100%, $E$13) + CHOOSE(CONTROL!$C$28, 0.0311, 0)</f>
        <v>21.824999999999999</v>
      </c>
      <c r="C190" s="4">
        <f>21.4306 * CHOOSE(CONTROL!$C$9, $C$13, 100%, $E$13) + CHOOSE(CONTROL!$C$28, 0.0311, 0)</f>
        <v>21.461699999999997</v>
      </c>
      <c r="D190" s="4">
        <f>30.0323 * CHOOSE(CONTROL!$C$9, $C$13, 100%, $E$13) + CHOOSE(CONTROL!$C$28, 0, 0)</f>
        <v>30.032299999999999</v>
      </c>
      <c r="E190" s="4">
        <f>136.392533571778 * CHOOSE(CONTROL!$C$9, $C$13, 100%, $E$13) + CHOOSE(CONTROL!$C$28, 0, 0)</f>
        <v>136.39253357177799</v>
      </c>
    </row>
    <row r="191" spans="1:5" ht="15">
      <c r="A191" s="13">
        <v>47300</v>
      </c>
      <c r="B191" s="4">
        <f>21.7872 * CHOOSE(CONTROL!$C$9, $C$13, 100%, $E$13) + CHOOSE(CONTROL!$C$28, 0.0311, 0)</f>
        <v>21.818299999999997</v>
      </c>
      <c r="C191" s="4">
        <f>21.4239 * CHOOSE(CONTROL!$C$9, $C$13, 100%, $E$13) + CHOOSE(CONTROL!$C$28, 0.0311, 0)</f>
        <v>21.454999999999998</v>
      </c>
      <c r="D191" s="4">
        <f>30.4972 * CHOOSE(CONTROL!$C$9, $C$13, 100%, $E$13) + CHOOSE(CONTROL!$C$28, 0, 0)</f>
        <v>30.497199999999999</v>
      </c>
      <c r="E191" s="4">
        <f>136.349151722677 * CHOOSE(CONTROL!$C$9, $C$13, 100%, $E$13) + CHOOSE(CONTROL!$C$28, 0, 0)</f>
        <v>136.34915172267699</v>
      </c>
    </row>
    <row r="192" spans="1:5" ht="15">
      <c r="A192" s="13">
        <v>47331</v>
      </c>
      <c r="B192" s="4">
        <f>22.2903 * CHOOSE(CONTROL!$C$9, $C$13, 100%, $E$13) + CHOOSE(CONTROL!$C$28, 0.0311, 0)</f>
        <v>22.321399999999997</v>
      </c>
      <c r="C192" s="4">
        <f>21.927 * CHOOSE(CONTROL!$C$9, $C$13, 100%, $E$13) + CHOOSE(CONTROL!$C$28, 0.0311, 0)</f>
        <v>21.958099999999998</v>
      </c>
      <c r="D192" s="4">
        <f>30.1902 * CHOOSE(CONTROL!$C$9, $C$13, 100%, $E$13) + CHOOSE(CONTROL!$C$28, 0, 0)</f>
        <v>30.190200000000001</v>
      </c>
      <c r="E192" s="4">
        <f>139.613635867485 * CHOOSE(CONTROL!$C$9, $C$13, 100%, $E$13) + CHOOSE(CONTROL!$C$28, 0, 0)</f>
        <v>139.61363586748499</v>
      </c>
    </row>
    <row r="193" spans="1:5" ht="15">
      <c r="A193" s="13">
        <v>47362</v>
      </c>
      <c r="B193" s="4">
        <f>21.4328 * CHOOSE(CONTROL!$C$9, $C$13, 100%, $E$13) + CHOOSE(CONTROL!$C$28, 0.0311, 0)</f>
        <v>21.463899999999999</v>
      </c>
      <c r="C193" s="4">
        <f>21.0695 * CHOOSE(CONTROL!$C$9, $C$13, 100%, $E$13) + CHOOSE(CONTROL!$C$28, 0.0311, 0)</f>
        <v>21.1006</v>
      </c>
      <c r="D193" s="4">
        <f>30.0451 * CHOOSE(CONTROL!$C$9, $C$13, 100%, $E$13) + CHOOSE(CONTROL!$C$28, 0, 0)</f>
        <v>30.045100000000001</v>
      </c>
      <c r="E193" s="4">
        <f>134.049913720354 * CHOOSE(CONTROL!$C$9, $C$13, 100%, $E$13) + CHOOSE(CONTROL!$C$28, 0, 0)</f>
        <v>134.049913720354</v>
      </c>
    </row>
    <row r="194" spans="1:5" ht="15">
      <c r="A194" s="13">
        <v>47392</v>
      </c>
      <c r="B194" s="4">
        <f>20.7464 * CHOOSE(CONTROL!$C$9, $C$13, 100%, $E$13) + CHOOSE(CONTROL!$C$28, 0.0003, 0)</f>
        <v>20.746700000000001</v>
      </c>
      <c r="C194" s="4">
        <f>20.3831 * CHOOSE(CONTROL!$C$9, $C$13, 100%, $E$13) + CHOOSE(CONTROL!$C$28, 0.0003, 0)</f>
        <v>20.383399999999998</v>
      </c>
      <c r="D194" s="4">
        <f>29.6566 * CHOOSE(CONTROL!$C$9, $C$13, 100%, $E$13) + CHOOSE(CONTROL!$C$28, 0, 0)</f>
        <v>29.656600000000001</v>
      </c>
      <c r="E194" s="4">
        <f>129.596043879376 * CHOOSE(CONTROL!$C$9, $C$13, 100%, $E$13) + CHOOSE(CONTROL!$C$28, 0, 0)</f>
        <v>129.596043879376</v>
      </c>
    </row>
    <row r="195" spans="1:5" ht="15">
      <c r="A195" s="13">
        <v>47423</v>
      </c>
      <c r="B195" s="4">
        <f>20.3043 * CHOOSE(CONTROL!$C$9, $C$13, 100%, $E$13) + CHOOSE(CONTROL!$C$28, 0.0003, 0)</f>
        <v>20.304600000000001</v>
      </c>
      <c r="C195" s="4">
        <f>19.941 * CHOOSE(CONTROL!$C$9, $C$13, 100%, $E$13) + CHOOSE(CONTROL!$C$28, 0.0003, 0)</f>
        <v>19.941299999999998</v>
      </c>
      <c r="D195" s="4">
        <f>29.523 * CHOOSE(CONTROL!$C$9, $C$13, 100%, $E$13) + CHOOSE(CONTROL!$C$28, 0, 0)</f>
        <v>29.523</v>
      </c>
      <c r="E195" s="4">
        <f>126.727419107609 * CHOOSE(CONTROL!$C$9, $C$13, 100%, $E$13) + CHOOSE(CONTROL!$C$28, 0, 0)</f>
        <v>126.72741910760899</v>
      </c>
    </row>
    <row r="196" spans="1:5" ht="15">
      <c r="A196" s="13">
        <v>47453</v>
      </c>
      <c r="B196" s="4">
        <f>19.9984 * CHOOSE(CONTROL!$C$9, $C$13, 100%, $E$13) + CHOOSE(CONTROL!$C$28, 0.0003, 0)</f>
        <v>19.998699999999999</v>
      </c>
      <c r="C196" s="4">
        <f>19.6351 * CHOOSE(CONTROL!$C$9, $C$13, 100%, $E$13) + CHOOSE(CONTROL!$C$28, 0.0003, 0)</f>
        <v>19.635400000000001</v>
      </c>
      <c r="D196" s="4">
        <f>28.5398 * CHOOSE(CONTROL!$C$9, $C$13, 100%, $E$13) + CHOOSE(CONTROL!$C$28, 0, 0)</f>
        <v>28.5398</v>
      </c>
      <c r="E196" s="4">
        <f>124.742699511264 * CHOOSE(CONTROL!$C$9, $C$13, 100%, $E$13) + CHOOSE(CONTROL!$C$28, 0, 0)</f>
        <v>124.74269951126399</v>
      </c>
    </row>
    <row r="197" spans="1:5" ht="15">
      <c r="A197" s="13">
        <v>47484</v>
      </c>
      <c r="B197" s="4">
        <f>19.4199 * CHOOSE(CONTROL!$C$9, $C$13, 100%, $E$13) + CHOOSE(CONTROL!$C$28, 0.0003, 0)</f>
        <v>19.420199999999998</v>
      </c>
      <c r="C197" s="4">
        <f>19.0566 * CHOOSE(CONTROL!$C$9, $C$13, 100%, $E$13) + CHOOSE(CONTROL!$C$28, 0.0003, 0)</f>
        <v>19.056899999999999</v>
      </c>
      <c r="D197" s="4">
        <f>27.6032 * CHOOSE(CONTROL!$C$9, $C$13, 100%, $E$13) + CHOOSE(CONTROL!$C$28, 0, 0)</f>
        <v>27.603200000000001</v>
      </c>
      <c r="E197" s="4">
        <f>120.945559154883 * CHOOSE(CONTROL!$C$9, $C$13, 100%, $E$13) + CHOOSE(CONTROL!$C$28, 0, 0)</f>
        <v>120.945559154883</v>
      </c>
    </row>
    <row r="198" spans="1:5" ht="15">
      <c r="A198" s="13">
        <v>47515</v>
      </c>
      <c r="B198" s="4">
        <f>19.8626 * CHOOSE(CONTROL!$C$9, $C$13, 100%, $E$13) + CHOOSE(CONTROL!$C$28, 0.0003, 0)</f>
        <v>19.8629</v>
      </c>
      <c r="C198" s="4">
        <f>19.4994 * CHOOSE(CONTROL!$C$9, $C$13, 100%, $E$13) + CHOOSE(CONTROL!$C$28, 0.0003, 0)</f>
        <v>19.499700000000001</v>
      </c>
      <c r="D198" s="4">
        <f>28.5121 * CHOOSE(CONTROL!$C$9, $C$13, 100%, $E$13) + CHOOSE(CONTROL!$C$28, 0, 0)</f>
        <v>28.5121</v>
      </c>
      <c r="E198" s="4">
        <f>123.817283364716 * CHOOSE(CONTROL!$C$9, $C$13, 100%, $E$13) + CHOOSE(CONTROL!$C$28, 0, 0)</f>
        <v>123.817283364716</v>
      </c>
    </row>
    <row r="199" spans="1:5" ht="15">
      <c r="A199" s="13">
        <v>47543</v>
      </c>
      <c r="B199" s="4">
        <f>21.0253 * CHOOSE(CONTROL!$C$9, $C$13, 100%, $E$13) + CHOOSE(CONTROL!$C$28, 0.0003, 0)</f>
        <v>21.025600000000001</v>
      </c>
      <c r="C199" s="4">
        <f>20.662 * CHOOSE(CONTROL!$C$9, $C$13, 100%, $E$13) + CHOOSE(CONTROL!$C$28, 0.0003, 0)</f>
        <v>20.662299999999998</v>
      </c>
      <c r="D199" s="4">
        <f>29.9349 * CHOOSE(CONTROL!$C$9, $C$13, 100%, $E$13) + CHOOSE(CONTROL!$C$28, 0, 0)</f>
        <v>29.934899999999999</v>
      </c>
      <c r="E199" s="4">
        <f>131.35858375243 * CHOOSE(CONTROL!$C$9, $C$13, 100%, $E$13) + CHOOSE(CONTROL!$C$28, 0, 0)</f>
        <v>131.35858375243001</v>
      </c>
    </row>
    <row r="200" spans="1:5" ht="15">
      <c r="A200" s="13">
        <v>47574</v>
      </c>
      <c r="B200" s="4">
        <f>21.8514 * CHOOSE(CONTROL!$C$9, $C$13, 100%, $E$13) + CHOOSE(CONTROL!$C$28, 0.0003, 0)</f>
        <v>21.851700000000001</v>
      </c>
      <c r="C200" s="4">
        <f>21.4881 * CHOOSE(CONTROL!$C$9, $C$13, 100%, $E$13) + CHOOSE(CONTROL!$C$28, 0.0003, 0)</f>
        <v>21.488399999999999</v>
      </c>
      <c r="D200" s="4">
        <f>30.7544 * CHOOSE(CONTROL!$C$9, $C$13, 100%, $E$13) + CHOOSE(CONTROL!$C$28, 0, 0)</f>
        <v>30.7544</v>
      </c>
      <c r="E200" s="4">
        <f>136.716778178942 * CHOOSE(CONTROL!$C$9, $C$13, 100%, $E$13) + CHOOSE(CONTROL!$C$28, 0, 0)</f>
        <v>136.71677817894201</v>
      </c>
    </row>
    <row r="201" spans="1:5" ht="15">
      <c r="A201" s="13">
        <v>47604</v>
      </c>
      <c r="B201" s="4">
        <f>22.3561 * CHOOSE(CONTROL!$C$9, $C$13, 100%, $E$13) + CHOOSE(CONTROL!$C$28, 0.0311, 0)</f>
        <v>22.3872</v>
      </c>
      <c r="C201" s="4">
        <f>21.9928 * CHOOSE(CONTROL!$C$9, $C$13, 100%, $E$13) + CHOOSE(CONTROL!$C$28, 0.0311, 0)</f>
        <v>22.023899999999998</v>
      </c>
      <c r="D201" s="4">
        <f>30.4306 * CHOOSE(CONTROL!$C$9, $C$13, 100%, $E$13) + CHOOSE(CONTROL!$C$28, 0, 0)</f>
        <v>30.430599999999998</v>
      </c>
      <c r="E201" s="4">
        <f>139.990506555543 * CHOOSE(CONTROL!$C$9, $C$13, 100%, $E$13) + CHOOSE(CONTROL!$C$28, 0, 0)</f>
        <v>139.99050655554299</v>
      </c>
    </row>
    <row r="202" spans="1:5" ht="15">
      <c r="A202" s="13">
        <v>47635</v>
      </c>
      <c r="B202" s="4">
        <f>22.4244 * CHOOSE(CONTROL!$C$9, $C$13, 100%, $E$13) + CHOOSE(CONTROL!$C$28, 0.0311, 0)</f>
        <v>22.455499999999997</v>
      </c>
      <c r="C202" s="4">
        <f>22.0611 * CHOOSE(CONTROL!$C$9, $C$13, 100%, $E$13) + CHOOSE(CONTROL!$C$28, 0.0311, 0)</f>
        <v>22.092199999999998</v>
      </c>
      <c r="D202" s="4">
        <f>30.6943 * CHOOSE(CONTROL!$C$9, $C$13, 100%, $E$13) + CHOOSE(CONTROL!$C$28, 0, 0)</f>
        <v>30.694299999999998</v>
      </c>
      <c r="E202" s="4">
        <f>140.433455591149 * CHOOSE(CONTROL!$C$9, $C$13, 100%, $E$13) + CHOOSE(CONTROL!$C$28, 0, 0)</f>
        <v>140.433455591149</v>
      </c>
    </row>
    <row r="203" spans="1:5" ht="15">
      <c r="A203" s="13">
        <v>47665</v>
      </c>
      <c r="B203" s="4">
        <f>22.4175 * CHOOSE(CONTROL!$C$9, $C$13, 100%, $E$13) + CHOOSE(CONTROL!$C$28, 0.0311, 0)</f>
        <v>22.448599999999999</v>
      </c>
      <c r="C203" s="4">
        <f>22.0542 * CHOOSE(CONTROL!$C$9, $C$13, 100%, $E$13) + CHOOSE(CONTROL!$C$28, 0.0311, 0)</f>
        <v>22.0853</v>
      </c>
      <c r="D203" s="4">
        <f>31.1702 * CHOOSE(CONTROL!$C$9, $C$13, 100%, $E$13) + CHOOSE(CONTROL!$C$28, 0, 0)</f>
        <v>31.170200000000001</v>
      </c>
      <c r="E203" s="4">
        <f>140.388788461509 * CHOOSE(CONTROL!$C$9, $C$13, 100%, $E$13) + CHOOSE(CONTROL!$C$28, 0, 0)</f>
        <v>140.38878846150899</v>
      </c>
    </row>
    <row r="204" spans="1:5" ht="15">
      <c r="A204" s="13">
        <v>47696</v>
      </c>
      <c r="B204" s="4">
        <f>22.9357 * CHOOSE(CONTROL!$C$9, $C$13, 100%, $E$13) + CHOOSE(CONTROL!$C$28, 0.0311, 0)</f>
        <v>22.966799999999999</v>
      </c>
      <c r="C204" s="4">
        <f>22.5724 * CHOOSE(CONTROL!$C$9, $C$13, 100%, $E$13) + CHOOSE(CONTROL!$C$28, 0.0311, 0)</f>
        <v>22.603499999999997</v>
      </c>
      <c r="D204" s="4">
        <f>30.8559 * CHOOSE(CONTROL!$C$9, $C$13, 100%, $E$13) + CHOOSE(CONTROL!$C$28, 0, 0)</f>
        <v>30.855899999999998</v>
      </c>
      <c r="E204" s="4">
        <f>143.74998996699 * CHOOSE(CONTROL!$C$9, $C$13, 100%, $E$13) + CHOOSE(CONTROL!$C$28, 0, 0)</f>
        <v>143.74998996699</v>
      </c>
    </row>
    <row r="205" spans="1:5" ht="15">
      <c r="A205" s="13">
        <v>47727</v>
      </c>
      <c r="B205" s="4">
        <f>22.0525 * CHOOSE(CONTROL!$C$9, $C$13, 100%, $E$13) + CHOOSE(CONTROL!$C$28, 0.0311, 0)</f>
        <v>22.083599999999997</v>
      </c>
      <c r="C205" s="4">
        <f>21.6892 * CHOOSE(CONTROL!$C$9, $C$13, 100%, $E$13) + CHOOSE(CONTROL!$C$28, 0.0311, 0)</f>
        <v>21.720299999999998</v>
      </c>
      <c r="D205" s="4">
        <f>30.7074 * CHOOSE(CONTROL!$C$9, $C$13, 100%, $E$13) + CHOOSE(CONTROL!$C$28, 0, 0)</f>
        <v>30.7074</v>
      </c>
      <c r="E205" s="4">
        <f>138.021430590538 * CHOOSE(CONTROL!$C$9, $C$13, 100%, $E$13) + CHOOSE(CONTROL!$C$28, 0, 0)</f>
        <v>138.02143059053799</v>
      </c>
    </row>
    <row r="206" spans="1:5" ht="15">
      <c r="A206" s="13">
        <v>47757</v>
      </c>
      <c r="B206" s="4">
        <f>21.3455 * CHOOSE(CONTROL!$C$9, $C$13, 100%, $E$13) + CHOOSE(CONTROL!$C$28, 0.0003, 0)</f>
        <v>21.345800000000001</v>
      </c>
      <c r="C206" s="4">
        <f>20.9822 * CHOOSE(CONTROL!$C$9, $C$13, 100%, $E$13) + CHOOSE(CONTROL!$C$28, 0.0003, 0)</f>
        <v>20.982499999999998</v>
      </c>
      <c r="D206" s="4">
        <f>30.3098 * CHOOSE(CONTROL!$C$9, $C$13, 100%, $E$13) + CHOOSE(CONTROL!$C$28, 0, 0)</f>
        <v>30.309799999999999</v>
      </c>
      <c r="E206" s="4">
        <f>133.435605280734 * CHOOSE(CONTROL!$C$9, $C$13, 100%, $E$13) + CHOOSE(CONTROL!$C$28, 0, 0)</f>
        <v>133.43560528073399</v>
      </c>
    </row>
    <row r="207" spans="1:5" ht="15">
      <c r="A207" s="13">
        <v>47788</v>
      </c>
      <c r="B207" s="4">
        <f>20.8902 * CHOOSE(CONTROL!$C$9, $C$13, 100%, $E$13) + CHOOSE(CONTROL!$C$28, 0.0003, 0)</f>
        <v>20.890499999999999</v>
      </c>
      <c r="C207" s="4">
        <f>20.5269 * CHOOSE(CONTROL!$C$9, $C$13, 100%, $E$13) + CHOOSE(CONTROL!$C$28, 0.0003, 0)</f>
        <v>20.527200000000001</v>
      </c>
      <c r="D207" s="4">
        <f>30.1731 * CHOOSE(CONTROL!$C$9, $C$13, 100%, $E$13) + CHOOSE(CONTROL!$C$28, 0, 0)</f>
        <v>30.173100000000002</v>
      </c>
      <c r="E207" s="4">
        <f>130.481991333226 * CHOOSE(CONTROL!$C$9, $C$13, 100%, $E$13) + CHOOSE(CONTROL!$C$28, 0, 0)</f>
        <v>130.48199133322601</v>
      </c>
    </row>
    <row r="208" spans="1:5" ht="15">
      <c r="A208" s="13">
        <v>47818</v>
      </c>
      <c r="B208" s="4">
        <f>20.5751 * CHOOSE(CONTROL!$C$9, $C$13, 100%, $E$13) + CHOOSE(CONTROL!$C$28, 0.0003, 0)</f>
        <v>20.575399999999998</v>
      </c>
      <c r="C208" s="4">
        <f>20.2118 * CHOOSE(CONTROL!$C$9, $C$13, 100%, $E$13) + CHOOSE(CONTROL!$C$28, 0.0003, 0)</f>
        <v>20.2121</v>
      </c>
      <c r="D208" s="4">
        <f>29.1668 * CHOOSE(CONTROL!$C$9, $C$13, 100%, $E$13) + CHOOSE(CONTROL!$C$28, 0, 0)</f>
        <v>29.166799999999999</v>
      </c>
      <c r="E208" s="4">
        <f>128.438470152152 * CHOOSE(CONTROL!$C$9, $C$13, 100%, $E$13) + CHOOSE(CONTROL!$C$28, 0, 0)</f>
        <v>128.43847015215201</v>
      </c>
    </row>
    <row r="209" spans="1:5" ht="15">
      <c r="A209" s="13">
        <v>47849</v>
      </c>
      <c r="B209" s="4">
        <f>20.0969 * CHOOSE(CONTROL!$C$9, $C$13, 100%, $E$13) + CHOOSE(CONTROL!$C$28, 0.0003, 0)</f>
        <v>20.097200000000001</v>
      </c>
      <c r="C209" s="4">
        <f>19.7336 * CHOOSE(CONTROL!$C$9, $C$13, 100%, $E$13) + CHOOSE(CONTROL!$C$28, 0.0003, 0)</f>
        <v>19.733899999999998</v>
      </c>
      <c r="D209" s="4">
        <f>28.3552 * CHOOSE(CONTROL!$C$9, $C$13, 100%, $E$13) + CHOOSE(CONTROL!$C$28, 0, 0)</f>
        <v>28.3552</v>
      </c>
      <c r="E209" s="4">
        <f>125.328013938627 * CHOOSE(CONTROL!$C$9, $C$13, 100%, $E$13) + CHOOSE(CONTROL!$C$28, 0, 0)</f>
        <v>125.328013938627</v>
      </c>
    </row>
    <row r="210" spans="1:5" ht="15">
      <c r="A210" s="13">
        <v>47880</v>
      </c>
      <c r="B210" s="4">
        <f>20.5557 * CHOOSE(CONTROL!$C$9, $C$13, 100%, $E$13) + CHOOSE(CONTROL!$C$28, 0.0003, 0)</f>
        <v>20.556000000000001</v>
      </c>
      <c r="C210" s="4">
        <f>20.1925 * CHOOSE(CONTROL!$C$9, $C$13, 100%, $E$13) + CHOOSE(CONTROL!$C$28, 0.0003, 0)</f>
        <v>20.192799999999998</v>
      </c>
      <c r="D210" s="4">
        <f>29.2906 * CHOOSE(CONTROL!$C$9, $C$13, 100%, $E$13) + CHOOSE(CONTROL!$C$28, 0, 0)</f>
        <v>29.290600000000001</v>
      </c>
      <c r="E210" s="4">
        <f>128.303794895884 * CHOOSE(CONTROL!$C$9, $C$13, 100%, $E$13) + CHOOSE(CONTROL!$C$28, 0, 0)</f>
        <v>128.30379489588401</v>
      </c>
    </row>
    <row r="211" spans="1:5" ht="15">
      <c r="A211" s="13">
        <v>47908</v>
      </c>
      <c r="B211" s="4">
        <f>21.7606 * CHOOSE(CONTROL!$C$9, $C$13, 100%, $E$13) + CHOOSE(CONTROL!$C$28, 0.0003, 0)</f>
        <v>21.760899999999999</v>
      </c>
      <c r="C211" s="4">
        <f>21.3973 * CHOOSE(CONTROL!$C$9, $C$13, 100%, $E$13) + CHOOSE(CONTROL!$C$28, 0.0003, 0)</f>
        <v>21.397600000000001</v>
      </c>
      <c r="D211" s="4">
        <f>30.7549 * CHOOSE(CONTROL!$C$9, $C$13, 100%, $E$13) + CHOOSE(CONTROL!$C$28, 0, 0)</f>
        <v>30.754899999999999</v>
      </c>
      <c r="E211" s="4">
        <f>136.118353832243 * CHOOSE(CONTROL!$C$9, $C$13, 100%, $E$13) + CHOOSE(CONTROL!$C$28, 0, 0)</f>
        <v>136.118353832243</v>
      </c>
    </row>
    <row r="212" spans="1:5" ht="15">
      <c r="A212" s="13">
        <v>47939</v>
      </c>
      <c r="B212" s="4">
        <f>22.6167 * CHOOSE(CONTROL!$C$9, $C$13, 100%, $E$13) + CHOOSE(CONTROL!$C$28, 0.0003, 0)</f>
        <v>22.617000000000001</v>
      </c>
      <c r="C212" s="4">
        <f>22.2534 * CHOOSE(CONTROL!$C$9, $C$13, 100%, $E$13) + CHOOSE(CONTROL!$C$28, 0.0003, 0)</f>
        <v>22.253699999999998</v>
      </c>
      <c r="D212" s="4">
        <f>31.5984 * CHOOSE(CONTROL!$C$9, $C$13, 100%, $E$13) + CHOOSE(CONTROL!$C$28, 0, 0)</f>
        <v>31.598400000000002</v>
      </c>
      <c r="E212" s="4">
        <f>141.670702099217 * CHOOSE(CONTROL!$C$9, $C$13, 100%, $E$13) + CHOOSE(CONTROL!$C$28, 0, 0)</f>
        <v>141.67070209921701</v>
      </c>
    </row>
    <row r="213" spans="1:5" ht="15">
      <c r="A213" s="13">
        <v>47969</v>
      </c>
      <c r="B213" s="4">
        <f>23.1397 * CHOOSE(CONTROL!$C$9, $C$13, 100%, $E$13) + CHOOSE(CONTROL!$C$28, 0.0311, 0)</f>
        <v>23.1708</v>
      </c>
      <c r="C213" s="4">
        <f>22.7765 * CHOOSE(CONTROL!$C$9, $C$13, 100%, $E$13) + CHOOSE(CONTROL!$C$28, 0.0311, 0)</f>
        <v>22.807599999999997</v>
      </c>
      <c r="D213" s="4">
        <f>31.2651 * CHOOSE(CONTROL!$C$9, $C$13, 100%, $E$13) + CHOOSE(CONTROL!$C$28, 0, 0)</f>
        <v>31.2651</v>
      </c>
      <c r="E213" s="4">
        <f>145.063053819123 * CHOOSE(CONTROL!$C$9, $C$13, 100%, $E$13) + CHOOSE(CONTROL!$C$28, 0, 0)</f>
        <v>145.06305381912301</v>
      </c>
    </row>
    <row r="214" spans="1:5" ht="15">
      <c r="A214" s="13">
        <v>48000</v>
      </c>
      <c r="B214" s="4">
        <f>23.2105 * CHOOSE(CONTROL!$C$9, $C$13, 100%, $E$13) + CHOOSE(CONTROL!$C$28, 0.0311, 0)</f>
        <v>23.241599999999998</v>
      </c>
      <c r="C214" s="4">
        <f>22.8472 * CHOOSE(CONTROL!$C$9, $C$13, 100%, $E$13) + CHOOSE(CONTROL!$C$28, 0.0311, 0)</f>
        <v>22.878299999999999</v>
      </c>
      <c r="D214" s="4">
        <f>31.5366 * CHOOSE(CONTROL!$C$9, $C$13, 100%, $E$13) + CHOOSE(CONTROL!$C$28, 0, 0)</f>
        <v>31.5366</v>
      </c>
      <c r="E214" s="4">
        <f>145.522053085375 * CHOOSE(CONTROL!$C$9, $C$13, 100%, $E$13) + CHOOSE(CONTROL!$C$28, 0, 0)</f>
        <v>145.52205308537501</v>
      </c>
    </row>
    <row r="215" spans="1:5" ht="15">
      <c r="A215" s="13">
        <v>48030</v>
      </c>
      <c r="B215" s="4">
        <f>23.2034 * CHOOSE(CONTROL!$C$9, $C$13, 100%, $E$13) + CHOOSE(CONTROL!$C$28, 0.0311, 0)</f>
        <v>23.234499999999997</v>
      </c>
      <c r="C215" s="4">
        <f>22.8401 * CHOOSE(CONTROL!$C$9, $C$13, 100%, $E$13) + CHOOSE(CONTROL!$C$28, 0.0311, 0)</f>
        <v>22.871199999999998</v>
      </c>
      <c r="D215" s="4">
        <f>32.0264 * CHOOSE(CONTROL!$C$9, $C$13, 100%, $E$13) + CHOOSE(CONTROL!$C$28, 0, 0)</f>
        <v>32.026400000000002</v>
      </c>
      <c r="E215" s="4">
        <f>145.47576744508 * CHOOSE(CONTROL!$C$9, $C$13, 100%, $E$13) + CHOOSE(CONTROL!$C$28, 0, 0)</f>
        <v>145.47576744508001</v>
      </c>
    </row>
    <row r="216" spans="1:5" ht="15">
      <c r="A216" s="13">
        <v>48061</v>
      </c>
      <c r="B216" s="4">
        <f>23.7404 * CHOOSE(CONTROL!$C$9, $C$13, 100%, $E$13) + CHOOSE(CONTROL!$C$28, 0.0311, 0)</f>
        <v>23.7715</v>
      </c>
      <c r="C216" s="4">
        <f>23.3771 * CHOOSE(CONTROL!$C$9, $C$13, 100%, $E$13) + CHOOSE(CONTROL!$C$28, 0.0311, 0)</f>
        <v>23.408199999999997</v>
      </c>
      <c r="D216" s="4">
        <f>31.7029 * CHOOSE(CONTROL!$C$9, $C$13, 100%, $E$13) + CHOOSE(CONTROL!$C$28, 0, 0)</f>
        <v>31.7029</v>
      </c>
      <c r="E216" s="4">
        <f>148.958761877229 * CHOOSE(CONTROL!$C$9, $C$13, 100%, $E$13) + CHOOSE(CONTROL!$C$28, 0, 0)</f>
        <v>148.95876187722899</v>
      </c>
    </row>
    <row r="217" spans="1:5" ht="15">
      <c r="A217" s="13">
        <v>48092</v>
      </c>
      <c r="B217" s="4">
        <f>22.8251 * CHOOSE(CONTROL!$C$9, $C$13, 100%, $E$13) + CHOOSE(CONTROL!$C$28, 0.0311, 0)</f>
        <v>22.856199999999998</v>
      </c>
      <c r="C217" s="4">
        <f>22.4619 * CHOOSE(CONTROL!$C$9, $C$13, 100%, $E$13) + CHOOSE(CONTROL!$C$28, 0.0311, 0)</f>
        <v>22.492999999999999</v>
      </c>
      <c r="D217" s="4">
        <f>31.5501 * CHOOSE(CONTROL!$C$9, $C$13, 100%, $E$13) + CHOOSE(CONTROL!$C$28, 0, 0)</f>
        <v>31.5501</v>
      </c>
      <c r="E217" s="4">
        <f>143.022628509481 * CHOOSE(CONTROL!$C$9, $C$13, 100%, $E$13) + CHOOSE(CONTROL!$C$28, 0, 0)</f>
        <v>143.022628509481</v>
      </c>
    </row>
    <row r="218" spans="1:5" ht="15">
      <c r="A218" s="13">
        <v>48122</v>
      </c>
      <c r="B218" s="4">
        <f>22.0925 * CHOOSE(CONTROL!$C$9, $C$13, 100%, $E$13) + CHOOSE(CONTROL!$C$28, 0.0003, 0)</f>
        <v>22.0928</v>
      </c>
      <c r="C218" s="4">
        <f>21.7292 * CHOOSE(CONTROL!$C$9, $C$13, 100%, $E$13) + CHOOSE(CONTROL!$C$28, 0.0003, 0)</f>
        <v>21.729499999999998</v>
      </c>
      <c r="D218" s="4">
        <f>31.1409 * CHOOSE(CONTROL!$C$9, $C$13, 100%, $E$13) + CHOOSE(CONTROL!$C$28, 0, 0)</f>
        <v>31.140899999999998</v>
      </c>
      <c r="E218" s="4">
        <f>138.27063610593 * CHOOSE(CONTROL!$C$9, $C$13, 100%, $E$13) + CHOOSE(CONTROL!$C$28, 0, 0)</f>
        <v>138.27063610593001</v>
      </c>
    </row>
    <row r="219" spans="1:5" ht="15">
      <c r="A219" s="13">
        <v>48153</v>
      </c>
      <c r="B219" s="4">
        <f>21.6206 * CHOOSE(CONTROL!$C$9, $C$13, 100%, $E$13) + CHOOSE(CONTROL!$C$28, 0.0003, 0)</f>
        <v>21.620899999999999</v>
      </c>
      <c r="C219" s="4">
        <f>21.2573 * CHOOSE(CONTROL!$C$9, $C$13, 100%, $E$13) + CHOOSE(CONTROL!$C$28, 0.0003, 0)</f>
        <v>21.2576</v>
      </c>
      <c r="D219" s="4">
        <f>31.0002 * CHOOSE(CONTROL!$C$9, $C$13, 100%, $E$13) + CHOOSE(CONTROL!$C$28, 0, 0)</f>
        <v>31.0002</v>
      </c>
      <c r="E219" s="4">
        <f>135.209998141467 * CHOOSE(CONTROL!$C$9, $C$13, 100%, $E$13) + CHOOSE(CONTROL!$C$28, 0, 0)</f>
        <v>135.209998141467</v>
      </c>
    </row>
    <row r="220" spans="1:5" ht="15">
      <c r="A220" s="13">
        <v>48183</v>
      </c>
      <c r="B220" s="4">
        <f>21.2941 * CHOOSE(CONTROL!$C$9, $C$13, 100%, $E$13) + CHOOSE(CONTROL!$C$28, 0.0003, 0)</f>
        <v>21.2944</v>
      </c>
      <c r="C220" s="4">
        <f>20.9308 * CHOOSE(CONTROL!$C$9, $C$13, 100%, $E$13) + CHOOSE(CONTROL!$C$28, 0.0003, 0)</f>
        <v>20.931100000000001</v>
      </c>
      <c r="D220" s="4">
        <f>29.9644 * CHOOSE(CONTROL!$C$9, $C$13, 100%, $E$13) + CHOOSE(CONTROL!$C$28, 0, 0)</f>
        <v>29.964400000000001</v>
      </c>
      <c r="E220" s="4">
        <f>133.092430098001 * CHOOSE(CONTROL!$C$9, $C$13, 100%, $E$13) + CHOOSE(CONTROL!$C$28, 0, 0)</f>
        <v>133.09243009800099</v>
      </c>
    </row>
    <row r="221" spans="1:5" ht="15">
      <c r="A221" s="13">
        <v>48214</v>
      </c>
      <c r="B221" s="4">
        <f>20.7881 * CHOOSE(CONTROL!$C$9, $C$13, 100%, $E$13) + CHOOSE(CONTROL!$C$28, 0.0003, 0)</f>
        <v>20.788399999999999</v>
      </c>
      <c r="C221" s="4">
        <f>20.4248 * CHOOSE(CONTROL!$C$9, $C$13, 100%, $E$13) + CHOOSE(CONTROL!$C$28, 0.0003, 0)</f>
        <v>20.4251</v>
      </c>
      <c r="D221" s="4">
        <f>29.1072 * CHOOSE(CONTROL!$C$9, $C$13, 100%, $E$13) + CHOOSE(CONTROL!$C$28, 0, 0)</f>
        <v>29.107199999999999</v>
      </c>
      <c r="E221" s="4">
        <f>129.710069271808 * CHOOSE(CONTROL!$C$9, $C$13, 100%, $E$13) + CHOOSE(CONTROL!$C$28, 0, 0)</f>
        <v>129.71006927180801</v>
      </c>
    </row>
    <row r="222" spans="1:5" ht="15">
      <c r="A222" s="13">
        <v>48245</v>
      </c>
      <c r="B222" s="4">
        <f>21.2633 * CHOOSE(CONTROL!$C$9, $C$13, 100%, $E$13) + CHOOSE(CONTROL!$C$28, 0.0003, 0)</f>
        <v>21.2636</v>
      </c>
      <c r="C222" s="4">
        <f>20.9 * CHOOSE(CONTROL!$C$9, $C$13, 100%, $E$13) + CHOOSE(CONTROL!$C$28, 0.0003, 0)</f>
        <v>20.900299999999998</v>
      </c>
      <c r="D222" s="4">
        <f>30.0692 * CHOOSE(CONTROL!$C$9, $C$13, 100%, $E$13) + CHOOSE(CONTROL!$C$28, 0, 0)</f>
        <v>30.069199999999999</v>
      </c>
      <c r="E222" s="4">
        <f>132.789897491957 * CHOOSE(CONTROL!$C$9, $C$13, 100%, $E$13) + CHOOSE(CONTROL!$C$28, 0, 0)</f>
        <v>132.78989749195699</v>
      </c>
    </row>
    <row r="223" spans="1:5" ht="15">
      <c r="A223" s="13">
        <v>48274</v>
      </c>
      <c r="B223" s="4">
        <f>22.5113 * CHOOSE(CONTROL!$C$9, $C$13, 100%, $E$13) + CHOOSE(CONTROL!$C$28, 0.0003, 0)</f>
        <v>22.511599999999998</v>
      </c>
      <c r="C223" s="4">
        <f>22.148 * CHOOSE(CONTROL!$C$9, $C$13, 100%, $E$13) + CHOOSE(CONTROL!$C$28, 0.0003, 0)</f>
        <v>22.148299999999999</v>
      </c>
      <c r="D223" s="4">
        <f>31.575 * CHOOSE(CONTROL!$C$9, $C$13, 100%, $E$13) + CHOOSE(CONTROL!$C$28, 0, 0)</f>
        <v>31.574999999999999</v>
      </c>
      <c r="E223" s="4">
        <f>140.877690070081 * CHOOSE(CONTROL!$C$9, $C$13, 100%, $E$13) + CHOOSE(CONTROL!$C$28, 0, 0)</f>
        <v>140.877690070081</v>
      </c>
    </row>
    <row r="224" spans="1:5" ht="15">
      <c r="A224" s="13">
        <v>48305</v>
      </c>
      <c r="B224" s="4">
        <f>23.398 * CHOOSE(CONTROL!$C$9, $C$13, 100%, $E$13) + CHOOSE(CONTROL!$C$28, 0.0003, 0)</f>
        <v>23.398299999999999</v>
      </c>
      <c r="C224" s="4">
        <f>23.0347 * CHOOSE(CONTROL!$C$9, $C$13, 100%, $E$13) + CHOOSE(CONTROL!$C$28, 0.0003, 0)</f>
        <v>23.035</v>
      </c>
      <c r="D224" s="4">
        <f>32.4425 * CHOOSE(CONTROL!$C$9, $C$13, 100%, $E$13) + CHOOSE(CONTROL!$C$28, 0, 0)</f>
        <v>32.442500000000003</v>
      </c>
      <c r="E224" s="4">
        <f>146.624174480845 * CHOOSE(CONTROL!$C$9, $C$13, 100%, $E$13) + CHOOSE(CONTROL!$C$28, 0, 0)</f>
        <v>146.624174480845</v>
      </c>
    </row>
    <row r="225" spans="1:5" ht="15">
      <c r="A225" s="13">
        <v>48335</v>
      </c>
      <c r="B225" s="4">
        <f>23.9397 * CHOOSE(CONTROL!$C$9, $C$13, 100%, $E$13) + CHOOSE(CONTROL!$C$28, 0.0311, 0)</f>
        <v>23.970799999999997</v>
      </c>
      <c r="C225" s="4">
        <f>23.5764 * CHOOSE(CONTROL!$C$9, $C$13, 100%, $E$13) + CHOOSE(CONTROL!$C$28, 0.0311, 0)</f>
        <v>23.607499999999998</v>
      </c>
      <c r="D225" s="4">
        <f>32.0997 * CHOOSE(CONTROL!$C$9, $C$13, 100%, $E$13) + CHOOSE(CONTROL!$C$28, 0, 0)</f>
        <v>32.099699999999999</v>
      </c>
      <c r="E225" s="4">
        <f>150.135138731813 * CHOOSE(CONTROL!$C$9, $C$13, 100%, $E$13) + CHOOSE(CONTROL!$C$28, 0, 0)</f>
        <v>150.13513873181299</v>
      </c>
    </row>
    <row r="226" spans="1:5" ht="15">
      <c r="A226" s="13">
        <v>48366</v>
      </c>
      <c r="B226" s="4">
        <f>24.013 * CHOOSE(CONTROL!$C$9, $C$13, 100%, $E$13) + CHOOSE(CONTROL!$C$28, 0.0311, 0)</f>
        <v>24.0441</v>
      </c>
      <c r="C226" s="4">
        <f>23.6497 * CHOOSE(CONTROL!$C$9, $C$13, 100%, $E$13) + CHOOSE(CONTROL!$C$28, 0.0311, 0)</f>
        <v>23.680799999999998</v>
      </c>
      <c r="D226" s="4">
        <f>32.3788 * CHOOSE(CONTROL!$C$9, $C$13, 100%, $E$13) + CHOOSE(CONTROL!$C$28, 0, 0)</f>
        <v>32.378799999999998</v>
      </c>
      <c r="E226" s="4">
        <f>150.610186765769 * CHOOSE(CONTROL!$C$9, $C$13, 100%, $E$13) + CHOOSE(CONTROL!$C$28, 0, 0)</f>
        <v>150.61018676576899</v>
      </c>
    </row>
    <row r="227" spans="1:5" ht="15">
      <c r="A227" s="13">
        <v>48396</v>
      </c>
      <c r="B227" s="4">
        <f>24.0056 * CHOOSE(CONTROL!$C$9, $C$13, 100%, $E$13) + CHOOSE(CONTROL!$C$28, 0.0311, 0)</f>
        <v>24.0367</v>
      </c>
      <c r="C227" s="4">
        <f>23.6423 * CHOOSE(CONTROL!$C$9, $C$13, 100%, $E$13) + CHOOSE(CONTROL!$C$28, 0.0311, 0)</f>
        <v>23.673399999999997</v>
      </c>
      <c r="D227" s="4">
        <f>32.8825 * CHOOSE(CONTROL!$C$9, $C$13, 100%, $E$13) + CHOOSE(CONTROL!$C$28, 0, 0)</f>
        <v>32.8825</v>
      </c>
      <c r="E227" s="4">
        <f>150.562282762345 * CHOOSE(CONTROL!$C$9, $C$13, 100%, $E$13) + CHOOSE(CONTROL!$C$28, 0, 0)</f>
        <v>150.56228276234501</v>
      </c>
    </row>
    <row r="228" spans="1:5" ht="15">
      <c r="A228" s="13">
        <v>48427</v>
      </c>
      <c r="B228" s="4">
        <f>24.5618 * CHOOSE(CONTROL!$C$9, $C$13, 100%, $E$13) + CHOOSE(CONTROL!$C$28, 0.0311, 0)</f>
        <v>24.5929</v>
      </c>
      <c r="C228" s="4">
        <f>24.1986 * CHOOSE(CONTROL!$C$9, $C$13, 100%, $E$13) + CHOOSE(CONTROL!$C$28, 0.0311, 0)</f>
        <v>24.229699999999998</v>
      </c>
      <c r="D228" s="4">
        <f>32.5499 * CHOOSE(CONTROL!$C$9, $C$13, 100%, $E$13) + CHOOSE(CONTROL!$C$28, 0, 0)</f>
        <v>32.549900000000001</v>
      </c>
      <c r="E228" s="4">
        <f>154.167059020018 * CHOOSE(CONTROL!$C$9, $C$13, 100%, $E$13) + CHOOSE(CONTROL!$C$28, 0, 0)</f>
        <v>154.167059020018</v>
      </c>
    </row>
    <row r="229" spans="1:5" ht="15">
      <c r="A229" s="13">
        <v>48458</v>
      </c>
      <c r="B229" s="4">
        <f>23.6139 * CHOOSE(CONTROL!$C$9, $C$13, 100%, $E$13) + CHOOSE(CONTROL!$C$28, 0.0311, 0)</f>
        <v>23.645</v>
      </c>
      <c r="C229" s="4">
        <f>23.2506 * CHOOSE(CONTROL!$C$9, $C$13, 100%, $E$13) + CHOOSE(CONTROL!$C$28, 0.0311, 0)</f>
        <v>23.281699999999997</v>
      </c>
      <c r="D229" s="4">
        <f>32.3927 * CHOOSE(CONTROL!$C$9, $C$13, 100%, $E$13) + CHOOSE(CONTROL!$C$28, 0, 0)</f>
        <v>32.392699999999998</v>
      </c>
      <c r="E229" s="4">
        <f>148.023370580861 * CHOOSE(CONTROL!$C$9, $C$13, 100%, $E$13) + CHOOSE(CONTROL!$C$28, 0, 0)</f>
        <v>148.02337058086101</v>
      </c>
    </row>
    <row r="230" spans="1:5" ht="15">
      <c r="A230" s="13">
        <v>48488</v>
      </c>
      <c r="B230" s="4">
        <f>22.855 * CHOOSE(CONTROL!$C$9, $C$13, 100%, $E$13) + CHOOSE(CONTROL!$C$28, 0.0003, 0)</f>
        <v>22.8553</v>
      </c>
      <c r="C230" s="4">
        <f>22.4917 * CHOOSE(CONTROL!$C$9, $C$13, 100%, $E$13) + CHOOSE(CONTROL!$C$28, 0.0003, 0)</f>
        <v>22.492000000000001</v>
      </c>
      <c r="D230" s="4">
        <f>31.9719 * CHOOSE(CONTROL!$C$9, $C$13, 100%, $E$13) + CHOOSE(CONTROL!$C$28, 0, 0)</f>
        <v>31.971900000000002</v>
      </c>
      <c r="E230" s="4">
        <f>143.105226229307 * CHOOSE(CONTROL!$C$9, $C$13, 100%, $E$13) + CHOOSE(CONTROL!$C$28, 0, 0)</f>
        <v>143.10522622930699</v>
      </c>
    </row>
    <row r="231" spans="1:5" ht="15">
      <c r="A231" s="13">
        <v>48519</v>
      </c>
      <c r="B231" s="4">
        <f>22.3662 * CHOOSE(CONTROL!$C$9, $C$13, 100%, $E$13) + CHOOSE(CONTROL!$C$28, 0.0003, 0)</f>
        <v>22.366499999999998</v>
      </c>
      <c r="C231" s="4">
        <f>22.0029 * CHOOSE(CONTROL!$C$9, $C$13, 100%, $E$13) + CHOOSE(CONTROL!$C$28, 0.0003, 0)</f>
        <v>22.0032</v>
      </c>
      <c r="D231" s="4">
        <f>31.8272 * CHOOSE(CONTROL!$C$9, $C$13, 100%, $E$13) + CHOOSE(CONTROL!$C$28, 0, 0)</f>
        <v>31.827200000000001</v>
      </c>
      <c r="E231" s="4">
        <f>139.93757400288 * CHOOSE(CONTROL!$C$9, $C$13, 100%, $E$13) + CHOOSE(CONTROL!$C$28, 0, 0)</f>
        <v>139.93757400288001</v>
      </c>
    </row>
    <row r="232" spans="1:5" ht="15">
      <c r="A232" s="13">
        <v>48549</v>
      </c>
      <c r="B232" s="4">
        <f>22.028 * CHOOSE(CONTROL!$C$9, $C$13, 100%, $E$13) + CHOOSE(CONTROL!$C$28, 0.0003, 0)</f>
        <v>22.028299999999998</v>
      </c>
      <c r="C232" s="4">
        <f>21.6647 * CHOOSE(CONTROL!$C$9, $C$13, 100%, $E$13) + CHOOSE(CONTROL!$C$28, 0.0003, 0)</f>
        <v>21.664999999999999</v>
      </c>
      <c r="D232" s="4">
        <f>30.7621 * CHOOSE(CONTROL!$C$9, $C$13, 100%, $E$13) + CHOOSE(CONTROL!$C$28, 0, 0)</f>
        <v>30.7621</v>
      </c>
      <c r="E232" s="4">
        <f>137.745965846222 * CHOOSE(CONTROL!$C$9, $C$13, 100%, $E$13) + CHOOSE(CONTROL!$C$28, 0, 0)</f>
        <v>137.74596584622199</v>
      </c>
    </row>
    <row r="233" spans="1:5" ht="15">
      <c r="A233" s="13">
        <v>48580</v>
      </c>
      <c r="B233" s="4">
        <f>21.4792 * CHOOSE(CONTROL!$C$9, $C$13, 100%, $E$13) + CHOOSE(CONTROL!$C$28, 0.0003, 0)</f>
        <v>21.479499999999998</v>
      </c>
      <c r="C233" s="4">
        <f>21.1159 * CHOOSE(CONTROL!$C$9, $C$13, 100%, $E$13) + CHOOSE(CONTROL!$C$28, 0.0003, 0)</f>
        <v>21.116199999999999</v>
      </c>
      <c r="D233" s="4">
        <f>29.8592 * CHOOSE(CONTROL!$C$9, $C$13, 100%, $E$13) + CHOOSE(CONTROL!$C$28, 0, 0)</f>
        <v>29.859200000000001</v>
      </c>
      <c r="E233" s="4">
        <f>134.091697606109 * CHOOSE(CONTROL!$C$9, $C$13, 100%, $E$13) + CHOOSE(CONTROL!$C$28, 0, 0)</f>
        <v>134.09169760610899</v>
      </c>
    </row>
    <row r="234" spans="1:5" ht="15">
      <c r="A234" s="13">
        <v>48611</v>
      </c>
      <c r="B234" s="4">
        <f>21.9708 * CHOOSE(CONTROL!$C$9, $C$13, 100%, $E$13) + CHOOSE(CONTROL!$C$28, 0.0003, 0)</f>
        <v>21.9711</v>
      </c>
      <c r="C234" s="4">
        <f>21.6075 * CHOOSE(CONTROL!$C$9, $C$13, 100%, $E$13) + CHOOSE(CONTROL!$C$28, 0.0003, 0)</f>
        <v>21.607800000000001</v>
      </c>
      <c r="D234" s="4">
        <f>30.8477 * CHOOSE(CONTROL!$C$9, $C$13, 100%, $E$13) + CHOOSE(CONTROL!$C$28, 0, 0)</f>
        <v>30.8477</v>
      </c>
      <c r="E234" s="4">
        <f>137.275562950515 * CHOOSE(CONTROL!$C$9, $C$13, 100%, $E$13) + CHOOSE(CONTROL!$C$28, 0, 0)</f>
        <v>137.275562950515</v>
      </c>
    </row>
    <row r="235" spans="1:5" ht="15">
      <c r="A235" s="13">
        <v>48639</v>
      </c>
      <c r="B235" s="4">
        <f>23.2619 * CHOOSE(CONTROL!$C$9, $C$13, 100%, $E$13) + CHOOSE(CONTROL!$C$28, 0.0003, 0)</f>
        <v>23.2622</v>
      </c>
      <c r="C235" s="4">
        <f>22.8986 * CHOOSE(CONTROL!$C$9, $C$13, 100%, $E$13) + CHOOSE(CONTROL!$C$28, 0.0003, 0)</f>
        <v>22.898899999999998</v>
      </c>
      <c r="D235" s="4">
        <f>32.3951 * CHOOSE(CONTROL!$C$9, $C$13, 100%, $E$13) + CHOOSE(CONTROL!$C$28, 0, 0)</f>
        <v>32.395099999999999</v>
      </c>
      <c r="E235" s="4">
        <f>145.636562545806 * CHOOSE(CONTROL!$C$9, $C$13, 100%, $E$13) + CHOOSE(CONTROL!$C$28, 0, 0)</f>
        <v>145.63656254580599</v>
      </c>
    </row>
    <row r="236" spans="1:5" ht="15">
      <c r="A236" s="13">
        <v>48670</v>
      </c>
      <c r="B236" s="4">
        <f>24.1792 * CHOOSE(CONTROL!$C$9, $C$13, 100%, $E$13) + CHOOSE(CONTROL!$C$28, 0.0003, 0)</f>
        <v>24.179500000000001</v>
      </c>
      <c r="C236" s="4">
        <f>23.8159 * CHOOSE(CONTROL!$C$9, $C$13, 100%, $E$13) + CHOOSE(CONTROL!$C$28, 0.0003, 0)</f>
        <v>23.816199999999998</v>
      </c>
      <c r="D236" s="4">
        <f>33.2865 * CHOOSE(CONTROL!$C$9, $C$13, 100%, $E$13) + CHOOSE(CONTROL!$C$28, 0, 0)</f>
        <v>33.286499999999997</v>
      </c>
      <c r="E236" s="4">
        <f>151.57716418323 * CHOOSE(CONTROL!$C$9, $C$13, 100%, $E$13) + CHOOSE(CONTROL!$C$28, 0, 0)</f>
        <v>151.57716418323</v>
      </c>
    </row>
    <row r="237" spans="1:5" ht="15">
      <c r="A237" s="13">
        <v>48700</v>
      </c>
      <c r="B237" s="4">
        <f>24.7397 * CHOOSE(CONTROL!$C$9, $C$13, 100%, $E$13) + CHOOSE(CONTROL!$C$28, 0.0311, 0)</f>
        <v>24.770799999999998</v>
      </c>
      <c r="C237" s="4">
        <f>24.3764 * CHOOSE(CONTROL!$C$9, $C$13, 100%, $E$13) + CHOOSE(CONTROL!$C$28, 0.0311, 0)</f>
        <v>24.407499999999999</v>
      </c>
      <c r="D237" s="4">
        <f>32.9343 * CHOOSE(CONTROL!$C$9, $C$13, 100%, $E$13) + CHOOSE(CONTROL!$C$28, 0, 0)</f>
        <v>32.9343</v>
      </c>
      <c r="E237" s="4">
        <f>155.206729407345 * CHOOSE(CONTROL!$C$9, $C$13, 100%, $E$13) + CHOOSE(CONTROL!$C$28, 0, 0)</f>
        <v>155.20672940734499</v>
      </c>
    </row>
    <row r="238" spans="1:5" ht="15">
      <c r="A238" s="13">
        <v>48731</v>
      </c>
      <c r="B238" s="4">
        <f>24.8155 * CHOOSE(CONTROL!$C$9, $C$13, 100%, $E$13) + CHOOSE(CONTROL!$C$28, 0.0311, 0)</f>
        <v>24.846599999999999</v>
      </c>
      <c r="C238" s="4">
        <f>24.4522 * CHOOSE(CONTROL!$C$9, $C$13, 100%, $E$13) + CHOOSE(CONTROL!$C$28, 0.0311, 0)</f>
        <v>24.4833</v>
      </c>
      <c r="D238" s="4">
        <f>33.2211 * CHOOSE(CONTROL!$C$9, $C$13, 100%, $E$13) + CHOOSE(CONTROL!$C$28, 0, 0)</f>
        <v>33.2211</v>
      </c>
      <c r="E238" s="4">
        <f>155.697824645173 * CHOOSE(CONTROL!$C$9, $C$13, 100%, $E$13) + CHOOSE(CONTROL!$C$28, 0, 0)</f>
        <v>155.697824645173</v>
      </c>
    </row>
    <row r="239" spans="1:5" ht="15">
      <c r="A239" s="13">
        <v>48761</v>
      </c>
      <c r="B239" s="4">
        <f>24.8079 * CHOOSE(CONTROL!$C$9, $C$13, 100%, $E$13) + CHOOSE(CONTROL!$C$28, 0.0311, 0)</f>
        <v>24.838999999999999</v>
      </c>
      <c r="C239" s="4">
        <f>24.4446 * CHOOSE(CONTROL!$C$9, $C$13, 100%, $E$13) + CHOOSE(CONTROL!$C$28, 0.0311, 0)</f>
        <v>24.4757</v>
      </c>
      <c r="D239" s="4">
        <f>33.7387 * CHOOSE(CONTROL!$C$9, $C$13, 100%, $E$13) + CHOOSE(CONTROL!$C$28, 0, 0)</f>
        <v>33.738700000000001</v>
      </c>
      <c r="E239" s="4">
        <f>155.648302436317 * CHOOSE(CONTROL!$C$9, $C$13, 100%, $E$13) + CHOOSE(CONTROL!$C$28, 0, 0)</f>
        <v>155.64830243631701</v>
      </c>
    </row>
    <row r="240" spans="1:5" ht="15">
      <c r="A240" s="13">
        <v>48792</v>
      </c>
      <c r="B240" s="4">
        <f>25.3833 * CHOOSE(CONTROL!$C$9, $C$13, 100%, $E$13) + CHOOSE(CONTROL!$C$28, 0.0311, 0)</f>
        <v>25.414399999999997</v>
      </c>
      <c r="C240" s="4">
        <f>25.02 * CHOOSE(CONTROL!$C$9, $C$13, 100%, $E$13) + CHOOSE(CONTROL!$C$28, 0.0311, 0)</f>
        <v>25.051099999999998</v>
      </c>
      <c r="D240" s="4">
        <f>33.3969 * CHOOSE(CONTROL!$C$9, $C$13, 100%, $E$13) + CHOOSE(CONTROL!$C$28, 0, 0)</f>
        <v>33.396900000000002</v>
      </c>
      <c r="E240" s="4">
        <f>159.374848652776 * CHOOSE(CONTROL!$C$9, $C$13, 100%, $E$13) + CHOOSE(CONTROL!$C$28, 0, 0)</f>
        <v>159.374848652776</v>
      </c>
    </row>
    <row r="241" spans="1:5" ht="15">
      <c r="A241" s="13">
        <v>48823</v>
      </c>
      <c r="B241" s="4">
        <f>24.4026 * CHOOSE(CONTROL!$C$9, $C$13, 100%, $E$13) + CHOOSE(CONTROL!$C$28, 0.0311, 0)</f>
        <v>24.433699999999998</v>
      </c>
      <c r="C241" s="4">
        <f>24.0393 * CHOOSE(CONTROL!$C$9, $C$13, 100%, $E$13) + CHOOSE(CONTROL!$C$28, 0.0311, 0)</f>
        <v>24.070399999999999</v>
      </c>
      <c r="D241" s="4">
        <f>33.2354 * CHOOSE(CONTROL!$C$9, $C$13, 100%, $E$13) + CHOOSE(CONTROL!$C$28, 0, 0)</f>
        <v>33.235399999999998</v>
      </c>
      <c r="E241" s="4">
        <f>153.023625366916 * CHOOSE(CONTROL!$C$9, $C$13, 100%, $E$13) + CHOOSE(CONTROL!$C$28, 0, 0)</f>
        <v>153.02362536691601</v>
      </c>
    </row>
    <row r="242" spans="1:5" ht="15">
      <c r="A242" s="13">
        <v>48853</v>
      </c>
      <c r="B242" s="4">
        <f>23.6175 * CHOOSE(CONTROL!$C$9, $C$13, 100%, $E$13) + CHOOSE(CONTROL!$C$28, 0.0003, 0)</f>
        <v>23.617799999999999</v>
      </c>
      <c r="C242" s="4">
        <f>23.2542 * CHOOSE(CONTROL!$C$9, $C$13, 100%, $E$13) + CHOOSE(CONTROL!$C$28, 0.0003, 0)</f>
        <v>23.2545</v>
      </c>
      <c r="D242" s="4">
        <f>32.8029 * CHOOSE(CONTROL!$C$9, $C$13, 100%, $E$13) + CHOOSE(CONTROL!$C$28, 0, 0)</f>
        <v>32.802900000000001</v>
      </c>
      <c r="E242" s="4">
        <f>147.939345257638 * CHOOSE(CONTROL!$C$9, $C$13, 100%, $E$13) + CHOOSE(CONTROL!$C$28, 0, 0)</f>
        <v>147.939345257638</v>
      </c>
    </row>
    <row r="243" spans="1:5" ht="15">
      <c r="A243" s="13">
        <v>48884</v>
      </c>
      <c r="B243" s="4">
        <f>23.1118 * CHOOSE(CONTROL!$C$9, $C$13, 100%, $E$13) + CHOOSE(CONTROL!$C$28, 0.0003, 0)</f>
        <v>23.112099999999998</v>
      </c>
      <c r="C243" s="4">
        <f>22.7485 * CHOOSE(CONTROL!$C$9, $C$13, 100%, $E$13) + CHOOSE(CONTROL!$C$28, 0.0003, 0)</f>
        <v>22.748799999999999</v>
      </c>
      <c r="D243" s="4">
        <f>32.6543 * CHOOSE(CONTROL!$C$9, $C$13, 100%, $E$13) + CHOOSE(CONTROL!$C$28, 0, 0)</f>
        <v>32.654299999999999</v>
      </c>
      <c r="E243" s="4">
        <f>144.664689196995 * CHOOSE(CONTROL!$C$9, $C$13, 100%, $E$13) + CHOOSE(CONTROL!$C$28, 0, 0)</f>
        <v>144.664689196995</v>
      </c>
    </row>
    <row r="244" spans="1:5" ht="15">
      <c r="A244" s="13">
        <v>48914</v>
      </c>
      <c r="B244" s="4">
        <f>22.762 * CHOOSE(CONTROL!$C$9, $C$13, 100%, $E$13) + CHOOSE(CONTROL!$C$28, 0.0003, 0)</f>
        <v>22.7623</v>
      </c>
      <c r="C244" s="4">
        <f>22.3987 * CHOOSE(CONTROL!$C$9, $C$13, 100%, $E$13) + CHOOSE(CONTROL!$C$28, 0.0003, 0)</f>
        <v>22.399000000000001</v>
      </c>
      <c r="D244" s="4">
        <f>31.5598 * CHOOSE(CONTROL!$C$9, $C$13, 100%, $E$13) + CHOOSE(CONTROL!$C$28, 0, 0)</f>
        <v>31.559799999999999</v>
      </c>
      <c r="E244" s="4">
        <f>142.399048141805 * CHOOSE(CONTROL!$C$9, $C$13, 100%, $E$13) + CHOOSE(CONTROL!$C$28, 0, 0)</f>
        <v>142.399048141805</v>
      </c>
    </row>
    <row r="245" spans="1:5" ht="15">
      <c r="A245" s="13">
        <v>48945</v>
      </c>
      <c r="B245" s="4">
        <f>22.1703 * CHOOSE(CONTROL!$C$9, $C$13, 100%, $E$13) + CHOOSE(CONTROL!$C$28, 0.0003, 0)</f>
        <v>22.1706</v>
      </c>
      <c r="C245" s="4">
        <f>21.807 * CHOOSE(CONTROL!$C$9, $C$13, 100%, $E$13) + CHOOSE(CONTROL!$C$28, 0.0003, 0)</f>
        <v>21.807299999999998</v>
      </c>
      <c r="D245" s="4">
        <f>30.6112 * CHOOSE(CONTROL!$C$9, $C$13, 100%, $E$13) + CHOOSE(CONTROL!$C$28, 0, 0)</f>
        <v>30.6112</v>
      </c>
      <c r="E245" s="4">
        <f>138.472926489847 * CHOOSE(CONTROL!$C$9, $C$13, 100%, $E$13) + CHOOSE(CONTROL!$C$28, 0, 0)</f>
        <v>138.472926489847</v>
      </c>
    </row>
    <row r="246" spans="1:5" ht="15">
      <c r="A246" s="13">
        <v>48976</v>
      </c>
      <c r="B246" s="4">
        <f>22.6784 * CHOOSE(CONTROL!$C$9, $C$13, 100%, $E$13) + CHOOSE(CONTROL!$C$28, 0.0003, 0)</f>
        <v>22.678699999999999</v>
      </c>
      <c r="C246" s="4">
        <f>22.3151 * CHOOSE(CONTROL!$C$9, $C$13, 100%, $E$13) + CHOOSE(CONTROL!$C$28, 0.0003, 0)</f>
        <v>22.3154</v>
      </c>
      <c r="D246" s="4">
        <f>31.6263 * CHOOSE(CONTROL!$C$9, $C$13, 100%, $E$13) + CHOOSE(CONTROL!$C$28, 0, 0)</f>
        <v>31.626300000000001</v>
      </c>
      <c r="E246" s="4">
        <f>141.760819473979 * CHOOSE(CONTROL!$C$9, $C$13, 100%, $E$13) + CHOOSE(CONTROL!$C$28, 0, 0)</f>
        <v>141.76081947397901</v>
      </c>
    </row>
    <row r="247" spans="1:5" ht="15">
      <c r="A247" s="13">
        <v>49004</v>
      </c>
      <c r="B247" s="4">
        <f>24.0125 * CHOOSE(CONTROL!$C$9, $C$13, 100%, $E$13) + CHOOSE(CONTROL!$C$28, 0.0003, 0)</f>
        <v>24.012799999999999</v>
      </c>
      <c r="C247" s="4">
        <f>23.6492 * CHOOSE(CONTROL!$C$9, $C$13, 100%, $E$13) + CHOOSE(CONTROL!$C$28, 0.0003, 0)</f>
        <v>23.6495</v>
      </c>
      <c r="D247" s="4">
        <f>33.2152 * CHOOSE(CONTROL!$C$9, $C$13, 100%, $E$13) + CHOOSE(CONTROL!$C$28, 0, 0)</f>
        <v>33.215200000000003</v>
      </c>
      <c r="E247" s="4">
        <f>150.395001179555 * CHOOSE(CONTROL!$C$9, $C$13, 100%, $E$13) + CHOOSE(CONTROL!$C$28, 0, 0)</f>
        <v>150.39500117955501</v>
      </c>
    </row>
    <row r="248" spans="1:5" ht="15">
      <c r="A248" s="13">
        <v>49035</v>
      </c>
      <c r="B248" s="4">
        <f>24.9605 * CHOOSE(CONTROL!$C$9, $C$13, 100%, $E$13) + CHOOSE(CONTROL!$C$28, 0.0003, 0)</f>
        <v>24.960799999999999</v>
      </c>
      <c r="C248" s="4">
        <f>24.5972 * CHOOSE(CONTROL!$C$9, $C$13, 100%, $E$13) + CHOOSE(CONTROL!$C$28, 0.0003, 0)</f>
        <v>24.5975</v>
      </c>
      <c r="D248" s="4">
        <f>34.1305 * CHOOSE(CONTROL!$C$9, $C$13, 100%, $E$13) + CHOOSE(CONTROL!$C$28, 0, 0)</f>
        <v>34.130499999999998</v>
      </c>
      <c r="E248" s="4">
        <f>156.529702346967 * CHOOSE(CONTROL!$C$9, $C$13, 100%, $E$13) + CHOOSE(CONTROL!$C$28, 0, 0)</f>
        <v>156.52970234696701</v>
      </c>
    </row>
    <row r="249" spans="1:5" ht="15">
      <c r="A249" s="13">
        <v>49065</v>
      </c>
      <c r="B249" s="4">
        <f>25.5396 * CHOOSE(CONTROL!$C$9, $C$13, 100%, $E$13) + CHOOSE(CONTROL!$C$28, 0.0311, 0)</f>
        <v>25.570699999999999</v>
      </c>
      <c r="C249" s="4">
        <f>25.1763 * CHOOSE(CONTROL!$C$9, $C$13, 100%, $E$13) + CHOOSE(CONTROL!$C$28, 0.0311, 0)</f>
        <v>25.2074</v>
      </c>
      <c r="D249" s="4">
        <f>33.7688 * CHOOSE(CONTROL!$C$9, $C$13, 100%, $E$13) + CHOOSE(CONTROL!$C$28, 0, 0)</f>
        <v>33.768799999999999</v>
      </c>
      <c r="E249" s="4">
        <f>160.277857731989 * CHOOSE(CONTROL!$C$9, $C$13, 100%, $E$13) + CHOOSE(CONTROL!$C$28, 0, 0)</f>
        <v>160.277857731989</v>
      </c>
    </row>
    <row r="250" spans="1:5" ht="15">
      <c r="A250" s="13">
        <v>49096</v>
      </c>
      <c r="B250" s="4">
        <f>25.618 * CHOOSE(CONTROL!$C$9, $C$13, 100%, $E$13) + CHOOSE(CONTROL!$C$28, 0.0311, 0)</f>
        <v>25.649099999999997</v>
      </c>
      <c r="C250" s="4">
        <f>25.2547 * CHOOSE(CONTROL!$C$9, $C$13, 100%, $E$13) + CHOOSE(CONTROL!$C$28, 0.0311, 0)</f>
        <v>25.285799999999998</v>
      </c>
      <c r="D250" s="4">
        <f>34.0634 * CHOOSE(CONTROL!$C$9, $C$13, 100%, $E$13) + CHOOSE(CONTROL!$C$28, 0, 0)</f>
        <v>34.063400000000001</v>
      </c>
      <c r="E250" s="4">
        <f>160.784998710746 * CHOOSE(CONTROL!$C$9, $C$13, 100%, $E$13) + CHOOSE(CONTROL!$C$28, 0, 0)</f>
        <v>160.78499871074601</v>
      </c>
    </row>
    <row r="251" spans="1:5" ht="15">
      <c r="A251" s="13">
        <v>49126</v>
      </c>
      <c r="B251" s="4">
        <f>25.6101 * CHOOSE(CONTROL!$C$9, $C$13, 100%, $E$13) + CHOOSE(CONTROL!$C$28, 0.0311, 0)</f>
        <v>25.641199999999998</v>
      </c>
      <c r="C251" s="4">
        <f>25.2468 * CHOOSE(CONTROL!$C$9, $C$13, 100%, $E$13) + CHOOSE(CONTROL!$C$28, 0.0311, 0)</f>
        <v>25.277899999999999</v>
      </c>
      <c r="D251" s="4">
        <f>34.5949 * CHOOSE(CONTROL!$C$9, $C$13, 100%, $E$13) + CHOOSE(CONTROL!$C$28, 0, 0)</f>
        <v>34.594900000000003</v>
      </c>
      <c r="E251" s="4">
        <f>160.733858443981 * CHOOSE(CONTROL!$C$9, $C$13, 100%, $E$13) + CHOOSE(CONTROL!$C$28, 0, 0)</f>
        <v>160.73385844398101</v>
      </c>
    </row>
    <row r="252" spans="1:5" ht="15">
      <c r="A252" s="13">
        <v>49157</v>
      </c>
      <c r="B252" s="4">
        <f>26.2047 * CHOOSE(CONTROL!$C$9, $C$13, 100%, $E$13) + CHOOSE(CONTROL!$C$28, 0.0311, 0)</f>
        <v>26.235799999999998</v>
      </c>
      <c r="C252" s="4">
        <f>25.8415 * CHOOSE(CONTROL!$C$9, $C$13, 100%, $E$13) + CHOOSE(CONTROL!$C$28, 0.0311, 0)</f>
        <v>25.872599999999998</v>
      </c>
      <c r="D252" s="4">
        <f>34.2439 * CHOOSE(CONTROL!$C$9, $C$13, 100%, $E$13) + CHOOSE(CONTROL!$C$28, 0, 0)</f>
        <v>34.243899999999996</v>
      </c>
      <c r="E252" s="4">
        <f>164.582163518085 * CHOOSE(CONTROL!$C$9, $C$13, 100%, $E$13) + CHOOSE(CONTROL!$C$28, 0, 0)</f>
        <v>164.582163518085</v>
      </c>
    </row>
    <row r="253" spans="1:5" ht="15">
      <c r="A253" s="13">
        <v>49188</v>
      </c>
      <c r="B253" s="4">
        <f>25.1913 * CHOOSE(CONTROL!$C$9, $C$13, 100%, $E$13) + CHOOSE(CONTROL!$C$28, 0.0311, 0)</f>
        <v>25.222399999999997</v>
      </c>
      <c r="C253" s="4">
        <f>24.828 * CHOOSE(CONTROL!$C$9, $C$13, 100%, $E$13) + CHOOSE(CONTROL!$C$28, 0.0311, 0)</f>
        <v>24.859099999999998</v>
      </c>
      <c r="D253" s="4">
        <f>34.078 * CHOOSE(CONTROL!$C$9, $C$13, 100%, $E$13) + CHOOSE(CONTROL!$C$28, 0, 0)</f>
        <v>34.078000000000003</v>
      </c>
      <c r="E253" s="4">
        <f>158.023424305409 * CHOOSE(CONTROL!$C$9, $C$13, 100%, $E$13) + CHOOSE(CONTROL!$C$28, 0, 0)</f>
        <v>158.02342430540901</v>
      </c>
    </row>
    <row r="254" spans="1:5" ht="15">
      <c r="A254" s="13">
        <v>49218</v>
      </c>
      <c r="B254" s="4">
        <f>24.38 * CHOOSE(CONTROL!$C$9, $C$13, 100%, $E$13) + CHOOSE(CONTROL!$C$28, 0.0003, 0)</f>
        <v>24.380299999999998</v>
      </c>
      <c r="C254" s="4">
        <f>24.0167 * CHOOSE(CONTROL!$C$9, $C$13, 100%, $E$13) + CHOOSE(CONTROL!$C$28, 0.0003, 0)</f>
        <v>24.016999999999999</v>
      </c>
      <c r="D254" s="4">
        <f>33.634 * CHOOSE(CONTROL!$C$9, $C$13, 100%, $E$13) + CHOOSE(CONTROL!$C$28, 0, 0)</f>
        <v>33.634</v>
      </c>
      <c r="E254" s="4">
        <f>152.773023584151 * CHOOSE(CONTROL!$C$9, $C$13, 100%, $E$13) + CHOOSE(CONTROL!$C$28, 0, 0)</f>
        <v>152.77302358415099</v>
      </c>
    </row>
    <row r="255" spans="1:5" ht="15">
      <c r="A255" s="13">
        <v>49249</v>
      </c>
      <c r="B255" s="4">
        <f>23.8574 * CHOOSE(CONTROL!$C$9, $C$13, 100%, $E$13) + CHOOSE(CONTROL!$C$28, 0.0003, 0)</f>
        <v>23.857699999999998</v>
      </c>
      <c r="C255" s="4">
        <f>23.4942 * CHOOSE(CONTROL!$C$9, $C$13, 100%, $E$13) + CHOOSE(CONTROL!$C$28, 0.0003, 0)</f>
        <v>23.494499999999999</v>
      </c>
      <c r="D255" s="4">
        <f>33.4813 * CHOOSE(CONTROL!$C$9, $C$13, 100%, $E$13) + CHOOSE(CONTROL!$C$28, 0, 0)</f>
        <v>33.481299999999997</v>
      </c>
      <c r="E255" s="4">
        <f>149.391373444282 * CHOOSE(CONTROL!$C$9, $C$13, 100%, $E$13) + CHOOSE(CONTROL!$C$28, 0, 0)</f>
        <v>149.39137344428201</v>
      </c>
    </row>
    <row r="256" spans="1:5" ht="15">
      <c r="A256" s="13">
        <v>49279</v>
      </c>
      <c r="B256" s="4">
        <f>23.4959 * CHOOSE(CONTROL!$C$9, $C$13, 100%, $E$13) + CHOOSE(CONTROL!$C$28, 0.0003, 0)</f>
        <v>23.496199999999998</v>
      </c>
      <c r="C256" s="4">
        <f>23.1326 * CHOOSE(CONTROL!$C$9, $C$13, 100%, $E$13) + CHOOSE(CONTROL!$C$28, 0.0003, 0)</f>
        <v>23.132899999999999</v>
      </c>
      <c r="D256" s="4">
        <f>32.3574 * CHOOSE(CONTROL!$C$9, $C$13, 100%, $E$13) + CHOOSE(CONTROL!$C$28, 0, 0)</f>
        <v>32.357399999999998</v>
      </c>
      <c r="E256" s="4">
        <f>147.05170623976 * CHOOSE(CONTROL!$C$9, $C$13, 100%, $E$13) + CHOOSE(CONTROL!$C$28, 0, 0)</f>
        <v>147.05170623975999</v>
      </c>
    </row>
    <row r="257" spans="1:5" ht="15">
      <c r="A257" s="13">
        <v>49310</v>
      </c>
      <c r="B257" s="4">
        <f>22.8615 * CHOOSE(CONTROL!$C$9, $C$13, 100%, $E$13) + CHOOSE(CONTROL!$C$28, 0.0003, 0)</f>
        <v>22.861799999999999</v>
      </c>
      <c r="C257" s="4">
        <f>22.4982 * CHOOSE(CONTROL!$C$9, $C$13, 100%, $E$13) + CHOOSE(CONTROL!$C$28, 0.0003, 0)</f>
        <v>22.4985</v>
      </c>
      <c r="D257" s="4">
        <f>31.3883 * CHOOSE(CONTROL!$C$9, $C$13, 100%, $E$13) + CHOOSE(CONTROL!$C$28, 0, 0)</f>
        <v>31.388300000000001</v>
      </c>
      <c r="E257" s="4">
        <f>142.853728374705 * CHOOSE(CONTROL!$C$9, $C$13, 100%, $E$13) + CHOOSE(CONTROL!$C$28, 0, 0)</f>
        <v>142.85372837470501</v>
      </c>
    </row>
    <row r="258" spans="1:5" ht="15">
      <c r="A258" s="13">
        <v>49341</v>
      </c>
      <c r="B258" s="4">
        <f>23.3859 * CHOOSE(CONTROL!$C$9, $C$13, 100%, $E$13) + CHOOSE(CONTROL!$C$28, 0.0003, 0)</f>
        <v>23.386199999999999</v>
      </c>
      <c r="C258" s="4">
        <f>23.0226 * CHOOSE(CONTROL!$C$9, $C$13, 100%, $E$13) + CHOOSE(CONTROL!$C$28, 0.0003, 0)</f>
        <v>23.0229</v>
      </c>
      <c r="D258" s="4">
        <f>32.4308 * CHOOSE(CONTROL!$C$9, $C$13, 100%, $E$13) + CHOOSE(CONTROL!$C$28, 0, 0)</f>
        <v>32.430799999999998</v>
      </c>
      <c r="E258" s="4">
        <f>146.245638859927 * CHOOSE(CONTROL!$C$9, $C$13, 100%, $E$13) + CHOOSE(CONTROL!$C$28, 0, 0)</f>
        <v>146.245638859927</v>
      </c>
    </row>
    <row r="259" spans="1:5" ht="15">
      <c r="A259" s="13">
        <v>49369</v>
      </c>
      <c r="B259" s="4">
        <f>24.7632 * CHOOSE(CONTROL!$C$9, $C$13, 100%, $E$13) + CHOOSE(CONTROL!$C$28, 0.0003, 0)</f>
        <v>24.763500000000001</v>
      </c>
      <c r="C259" s="4">
        <f>24.3999 * CHOOSE(CONTROL!$C$9, $C$13, 100%, $E$13) + CHOOSE(CONTROL!$C$28, 0.0003, 0)</f>
        <v>24.400199999999998</v>
      </c>
      <c r="D259" s="4">
        <f>34.0627 * CHOOSE(CONTROL!$C$9, $C$13, 100%, $E$13) + CHOOSE(CONTROL!$C$28, 0, 0)</f>
        <v>34.0627</v>
      </c>
      <c r="E259" s="4">
        <f>155.152976051192 * CHOOSE(CONTROL!$C$9, $C$13, 100%, $E$13) + CHOOSE(CONTROL!$C$28, 0, 0)</f>
        <v>155.15297605119201</v>
      </c>
    </row>
    <row r="260" spans="1:5" ht="15">
      <c r="A260" s="13">
        <v>49400</v>
      </c>
      <c r="B260" s="4">
        <f>25.7417 * CHOOSE(CONTROL!$C$9, $C$13, 100%, $E$13) + CHOOSE(CONTROL!$C$28, 0.0003, 0)</f>
        <v>25.742000000000001</v>
      </c>
      <c r="C260" s="4">
        <f>25.3784 * CHOOSE(CONTROL!$C$9, $C$13, 100%, $E$13) + CHOOSE(CONTROL!$C$28, 0.0003, 0)</f>
        <v>25.378699999999998</v>
      </c>
      <c r="D260" s="4">
        <f>35.0027 * CHOOSE(CONTROL!$C$9, $C$13, 100%, $E$13) + CHOOSE(CONTROL!$C$28, 0, 0)</f>
        <v>35.002699999999997</v>
      </c>
      <c r="E260" s="4">
        <f>161.48175783146 * CHOOSE(CONTROL!$C$9, $C$13, 100%, $E$13) + CHOOSE(CONTROL!$C$28, 0, 0)</f>
        <v>161.48175783145999</v>
      </c>
    </row>
    <row r="261" spans="1:5" ht="15">
      <c r="A261" s="13">
        <v>49430</v>
      </c>
      <c r="B261" s="4">
        <f>26.3396 * CHOOSE(CONTROL!$C$9, $C$13, 100%, $E$13) + CHOOSE(CONTROL!$C$28, 0.0311, 0)</f>
        <v>26.370699999999999</v>
      </c>
      <c r="C261" s="4">
        <f>25.9763 * CHOOSE(CONTROL!$C$9, $C$13, 100%, $E$13) + CHOOSE(CONTROL!$C$28, 0.0311, 0)</f>
        <v>26.007399999999997</v>
      </c>
      <c r="D261" s="4">
        <f>34.6312 * CHOOSE(CONTROL!$C$9, $C$13, 100%, $E$13) + CHOOSE(CONTROL!$C$28, 0, 0)</f>
        <v>34.6312</v>
      </c>
      <c r="E261" s="4">
        <f>165.348491819475 * CHOOSE(CONTROL!$C$9, $C$13, 100%, $E$13) + CHOOSE(CONTROL!$C$28, 0, 0)</f>
        <v>165.34849181947499</v>
      </c>
    </row>
    <row r="262" spans="1:5" ht="15">
      <c r="A262" s="14">
        <v>49461</v>
      </c>
      <c r="B262" s="4">
        <f>26.4205 * CHOOSE(CONTROL!$C$9, $C$13, 100%, $E$13) + CHOOSE(CONTROL!$C$28, 0.0311, 0)</f>
        <v>26.451599999999999</v>
      </c>
      <c r="C262" s="4">
        <f>26.0572 * CHOOSE(CONTROL!$C$9, $C$13, 100%, $E$13) + CHOOSE(CONTROL!$C$28, 0.0311, 0)</f>
        <v>26.0883</v>
      </c>
      <c r="D262" s="4">
        <f>34.9337 * CHOOSE(CONTROL!$C$9, $C$13, 100%, $E$13) + CHOOSE(CONTROL!$C$28, 0, 0)</f>
        <v>34.933700000000002</v>
      </c>
      <c r="E262" s="4">
        <f>165.871676975329 * CHOOSE(CONTROL!$C$9, $C$13, 100%, $E$13) + CHOOSE(CONTROL!$C$28, 0, 0)</f>
        <v>165.871676975329</v>
      </c>
    </row>
    <row r="263" spans="1:5" ht="15">
      <c r="A263" s="14">
        <v>49491</v>
      </c>
      <c r="B263" s="4">
        <f>26.4123 * CHOOSE(CONTROL!$C$9, $C$13, 100%, $E$13) + CHOOSE(CONTROL!$C$28, 0.0311, 0)</f>
        <v>26.443399999999997</v>
      </c>
      <c r="C263" s="4">
        <f>26.049 * CHOOSE(CONTROL!$C$9, $C$13, 100%, $E$13) + CHOOSE(CONTROL!$C$28, 0.0311, 0)</f>
        <v>26.080099999999998</v>
      </c>
      <c r="D263" s="4">
        <f>35.4796 * CHOOSE(CONTROL!$C$9, $C$13, 100%, $E$13) + CHOOSE(CONTROL!$C$28, 0, 0)</f>
        <v>35.479599999999998</v>
      </c>
      <c r="E263" s="4">
        <f>165.818918808352 * CHOOSE(CONTROL!$C$9, $C$13, 100%, $E$13) + CHOOSE(CONTROL!$C$28, 0, 0)</f>
        <v>165.81891880835201</v>
      </c>
    </row>
    <row r="264" spans="1:5" ht="15">
      <c r="A264" s="14">
        <v>49522</v>
      </c>
      <c r="B264" s="4">
        <f>27.0262 * CHOOSE(CONTROL!$C$9, $C$13, 100%, $E$13) + CHOOSE(CONTROL!$C$28, 0.0311, 0)</f>
        <v>27.057299999999998</v>
      </c>
      <c r="C264" s="4">
        <f>26.6629 * CHOOSE(CONTROL!$C$9, $C$13, 100%, $E$13) + CHOOSE(CONTROL!$C$28, 0.0311, 0)</f>
        <v>26.693999999999999</v>
      </c>
      <c r="D264" s="4">
        <f>35.1191 * CHOOSE(CONTROL!$C$9, $C$13, 100%, $E$13) + CHOOSE(CONTROL!$C$28, 0, 0)</f>
        <v>35.119100000000003</v>
      </c>
      <c r="E264" s="4">
        <f>169.788970873363 * CHOOSE(CONTROL!$C$9, $C$13, 100%, $E$13) + CHOOSE(CONTROL!$C$28, 0, 0)</f>
        <v>169.78897087336301</v>
      </c>
    </row>
    <row r="265" spans="1:5" ht="15">
      <c r="A265" s="14">
        <v>49553</v>
      </c>
      <c r="B265" s="4">
        <f>25.98 * CHOOSE(CONTROL!$C$9, $C$13, 100%, $E$13) + CHOOSE(CONTROL!$C$28, 0.0311, 0)</f>
        <v>26.011099999999999</v>
      </c>
      <c r="C265" s="4">
        <f>25.6167 * CHOOSE(CONTROL!$C$9, $C$13, 100%, $E$13) + CHOOSE(CONTROL!$C$28, 0.0311, 0)</f>
        <v>25.6478</v>
      </c>
      <c r="D265" s="4">
        <f>34.9488 * CHOOSE(CONTROL!$C$9, $C$13, 100%, $E$13) + CHOOSE(CONTROL!$C$28, 0, 0)</f>
        <v>34.948799999999999</v>
      </c>
      <c r="E265" s="4">
        <f>163.022735958577 * CHOOSE(CONTROL!$C$9, $C$13, 100%, $E$13) + CHOOSE(CONTROL!$C$28, 0, 0)</f>
        <v>163.02273595857699</v>
      </c>
    </row>
    <row r="266" spans="1:5" ht="15">
      <c r="A266" s="14">
        <v>49583</v>
      </c>
      <c r="B266" s="4">
        <f>25.1425 * CHOOSE(CONTROL!$C$9, $C$13, 100%, $E$13) + CHOOSE(CONTROL!$C$28, 0.0003, 0)</f>
        <v>25.142799999999998</v>
      </c>
      <c r="C266" s="4">
        <f>24.7792 * CHOOSE(CONTROL!$C$9, $C$13, 100%, $E$13) + CHOOSE(CONTROL!$C$28, 0.0003, 0)</f>
        <v>24.779499999999999</v>
      </c>
      <c r="D266" s="4">
        <f>34.4928 * CHOOSE(CONTROL!$C$9, $C$13, 100%, $E$13) + CHOOSE(CONTROL!$C$28, 0, 0)</f>
        <v>34.492800000000003</v>
      </c>
      <c r="E266" s="4">
        <f>157.606230815617 * CHOOSE(CONTROL!$C$9, $C$13, 100%, $E$13) + CHOOSE(CONTROL!$C$28, 0, 0)</f>
        <v>157.60623081561701</v>
      </c>
    </row>
    <row r="267" spans="1:5" ht="15">
      <c r="A267" s="14">
        <v>49614</v>
      </c>
      <c r="B267" s="4">
        <f>24.6031 * CHOOSE(CONTROL!$C$9, $C$13, 100%, $E$13) + CHOOSE(CONTROL!$C$28, 0.0003, 0)</f>
        <v>24.603400000000001</v>
      </c>
      <c r="C267" s="4">
        <f>24.2398 * CHOOSE(CONTROL!$C$9, $C$13, 100%, $E$13) + CHOOSE(CONTROL!$C$28, 0.0003, 0)</f>
        <v>24.240099999999998</v>
      </c>
      <c r="D267" s="4">
        <f>34.336 * CHOOSE(CONTROL!$C$9, $C$13, 100%, $E$13) + CHOOSE(CONTROL!$C$28, 0, 0)</f>
        <v>34.335999999999999</v>
      </c>
      <c r="E267" s="4">
        <f>154.11759702427 * CHOOSE(CONTROL!$C$9, $C$13, 100%, $E$13) + CHOOSE(CONTROL!$C$28, 0, 0)</f>
        <v>154.11759702427</v>
      </c>
    </row>
    <row r="268" spans="1:5" ht="15">
      <c r="A268" s="14">
        <v>49644</v>
      </c>
      <c r="B268" s="4">
        <f>24.2299 * CHOOSE(CONTROL!$C$9, $C$13, 100%, $E$13) + CHOOSE(CONTROL!$C$28, 0.0003, 0)</f>
        <v>24.2302</v>
      </c>
      <c r="C268" s="4">
        <f>23.8666 * CHOOSE(CONTROL!$C$9, $C$13, 100%, $E$13) + CHOOSE(CONTROL!$C$28, 0.0003, 0)</f>
        <v>23.866899999999998</v>
      </c>
      <c r="D268" s="4">
        <f>33.1817 * CHOOSE(CONTROL!$C$9, $C$13, 100%, $E$13) + CHOOSE(CONTROL!$C$28, 0, 0)</f>
        <v>33.181699999999999</v>
      </c>
      <c r="E268" s="4">
        <f>151.703910885078 * CHOOSE(CONTROL!$C$9, $C$13, 100%, $E$13) + CHOOSE(CONTROL!$C$28, 0, 0)</f>
        <v>151.70391088507799</v>
      </c>
    </row>
    <row r="269" spans="1:5" ht="15">
      <c r="A269" s="14">
        <v>49675</v>
      </c>
      <c r="B269" s="4">
        <f>23.6235 * CHOOSE(CONTROL!$C$9, $C$13, 100%, $E$13) + CHOOSE(CONTROL!$C$28, 0.0003, 0)</f>
        <v>23.623799999999999</v>
      </c>
      <c r="C269" s="4">
        <f>23.2602 * CHOOSE(CONTROL!$C$9, $C$13, 100%, $E$13) + CHOOSE(CONTROL!$C$28, 0.0003, 0)</f>
        <v>23.2605</v>
      </c>
      <c r="D269" s="4">
        <f>32.1208 * CHOOSE(CONTROL!$C$9, $C$13, 100%, $E$13) + CHOOSE(CONTROL!$C$28, 0, 0)</f>
        <v>32.120800000000003</v>
      </c>
      <c r="E269" s="4">
        <f>147.353620818508 * CHOOSE(CONTROL!$C$9, $C$13, 100%, $E$13) + CHOOSE(CONTROL!$C$28, 0, 0)</f>
        <v>147.35362081850801</v>
      </c>
    </row>
    <row r="270" spans="1:5" ht="15">
      <c r="A270" s="14">
        <v>49706</v>
      </c>
      <c r="B270" s="4">
        <f>24.166 * CHOOSE(CONTROL!$C$9, $C$13, 100%, $E$13) + CHOOSE(CONTROL!$C$28, 0.0003, 0)</f>
        <v>24.1663</v>
      </c>
      <c r="C270" s="4">
        <f>23.8028 * CHOOSE(CONTROL!$C$9, $C$13, 100%, $E$13) + CHOOSE(CONTROL!$C$28, 0.0003, 0)</f>
        <v>23.803100000000001</v>
      </c>
      <c r="D270" s="4">
        <f>33.1891 * CHOOSE(CONTROL!$C$9, $C$13, 100%, $E$13) + CHOOSE(CONTROL!$C$28, 0, 0)</f>
        <v>33.189100000000003</v>
      </c>
      <c r="E270" s="4">
        <f>150.852376484015 * CHOOSE(CONTROL!$C$9, $C$13, 100%, $E$13) + CHOOSE(CONTROL!$C$28, 0, 0)</f>
        <v>150.852376484015</v>
      </c>
    </row>
    <row r="271" spans="1:5" ht="15">
      <c r="A271" s="14">
        <v>49735</v>
      </c>
      <c r="B271" s="4">
        <f>25.5908 * CHOOSE(CONTROL!$C$9, $C$13, 100%, $E$13) + CHOOSE(CONTROL!$C$28, 0.0003, 0)</f>
        <v>25.591100000000001</v>
      </c>
      <c r="C271" s="4">
        <f>25.2275 * CHOOSE(CONTROL!$C$9, $C$13, 100%, $E$13) + CHOOSE(CONTROL!$C$28, 0.0003, 0)</f>
        <v>25.227799999999998</v>
      </c>
      <c r="D271" s="4">
        <f>34.8615 * CHOOSE(CONTROL!$C$9, $C$13, 100%, $E$13) + CHOOSE(CONTROL!$C$28, 0, 0)</f>
        <v>34.861499999999999</v>
      </c>
      <c r="E271" s="4">
        <f>160.040294796804 * CHOOSE(CONTROL!$C$9, $C$13, 100%, $E$13) + CHOOSE(CONTROL!$C$28, 0, 0)</f>
        <v>160.04029479680401</v>
      </c>
    </row>
    <row r="272" spans="1:5" ht="15">
      <c r="A272" s="14">
        <v>49766</v>
      </c>
      <c r="B272" s="4">
        <f>26.6031 * CHOOSE(CONTROL!$C$9, $C$13, 100%, $E$13) + CHOOSE(CONTROL!$C$28, 0.0003, 0)</f>
        <v>26.603400000000001</v>
      </c>
      <c r="C272" s="4">
        <f>26.2398 * CHOOSE(CONTROL!$C$9, $C$13, 100%, $E$13) + CHOOSE(CONTROL!$C$28, 0.0003, 0)</f>
        <v>26.240099999999998</v>
      </c>
      <c r="D272" s="4">
        <f>35.8248 * CHOOSE(CONTROL!$C$9, $C$13, 100%, $E$13) + CHOOSE(CONTROL!$C$28, 0, 0)</f>
        <v>35.824800000000003</v>
      </c>
      <c r="E272" s="4">
        <f>166.568433203151 * CHOOSE(CONTROL!$C$9, $C$13, 100%, $E$13) + CHOOSE(CONTROL!$C$28, 0, 0)</f>
        <v>166.56843320315099</v>
      </c>
    </row>
    <row r="273" spans="1:5" ht="15">
      <c r="A273" s="14">
        <v>49796</v>
      </c>
      <c r="B273" s="4">
        <f>27.2216 * CHOOSE(CONTROL!$C$9, $C$13, 100%, $E$13) + CHOOSE(CONTROL!$C$28, 0.0311, 0)</f>
        <v>27.252699999999997</v>
      </c>
      <c r="C273" s="4">
        <f>26.8583 * CHOOSE(CONTROL!$C$9, $C$13, 100%, $E$13) + CHOOSE(CONTROL!$C$28, 0.0311, 0)</f>
        <v>26.889399999999998</v>
      </c>
      <c r="D273" s="4">
        <f>35.4442 * CHOOSE(CONTROL!$C$9, $C$13, 100%, $E$13) + CHOOSE(CONTROL!$C$28, 0, 0)</f>
        <v>35.444200000000002</v>
      </c>
      <c r="E273" s="4">
        <f>170.556969311788 * CHOOSE(CONTROL!$C$9, $C$13, 100%, $E$13) + CHOOSE(CONTROL!$C$28, 0, 0)</f>
        <v>170.55696931178801</v>
      </c>
    </row>
    <row r="274" spans="1:5" ht="15">
      <c r="A274" s="14">
        <v>49827</v>
      </c>
      <c r="B274" s="4">
        <f>27.3053 * CHOOSE(CONTROL!$C$9, $C$13, 100%, $E$13) + CHOOSE(CONTROL!$C$28, 0.0311, 0)</f>
        <v>27.336399999999998</v>
      </c>
      <c r="C274" s="4">
        <f>26.942 * CHOOSE(CONTROL!$C$9, $C$13, 100%, $E$13) + CHOOSE(CONTROL!$C$28, 0.0311, 0)</f>
        <v>26.973099999999999</v>
      </c>
      <c r="D274" s="4">
        <f>35.7542 * CHOOSE(CONTROL!$C$9, $C$13, 100%, $E$13) + CHOOSE(CONTROL!$C$28, 0, 0)</f>
        <v>35.754199999999997</v>
      </c>
      <c r="E274" s="4">
        <f>171.096634800052 * CHOOSE(CONTROL!$C$9, $C$13, 100%, $E$13) + CHOOSE(CONTROL!$C$28, 0, 0)</f>
        <v>171.09663480005199</v>
      </c>
    </row>
    <row r="275" spans="1:5" ht="15">
      <c r="A275" s="14">
        <v>49857</v>
      </c>
      <c r="B275" s="4">
        <f>27.2969 * CHOOSE(CONTROL!$C$9, $C$13, 100%, $E$13) + CHOOSE(CONTROL!$C$28, 0.0311, 0)</f>
        <v>27.327999999999999</v>
      </c>
      <c r="C275" s="4">
        <f>26.9336 * CHOOSE(CONTROL!$C$9, $C$13, 100%, $E$13) + CHOOSE(CONTROL!$C$28, 0.0311, 0)</f>
        <v>26.964699999999997</v>
      </c>
      <c r="D275" s="4">
        <f>36.3136 * CHOOSE(CONTROL!$C$9, $C$13, 100%, $E$13) + CHOOSE(CONTROL!$C$28, 0, 0)</f>
        <v>36.313600000000001</v>
      </c>
      <c r="E275" s="4">
        <f>171.042214750815 * CHOOSE(CONTROL!$C$9, $C$13, 100%, $E$13) + CHOOSE(CONTROL!$C$28, 0, 0)</f>
        <v>171.04221475081499</v>
      </c>
    </row>
    <row r="276" spans="1:5" ht="15">
      <c r="A276" s="14">
        <v>49888</v>
      </c>
      <c r="B276" s="4">
        <f>27.9319 * CHOOSE(CONTROL!$C$9, $C$13, 100%, $E$13) + CHOOSE(CONTROL!$C$28, 0.0311, 0)</f>
        <v>27.962999999999997</v>
      </c>
      <c r="C276" s="4">
        <f>27.5686 * CHOOSE(CONTROL!$C$9, $C$13, 100%, $E$13) + CHOOSE(CONTROL!$C$28, 0.0311, 0)</f>
        <v>27.599699999999999</v>
      </c>
      <c r="D276" s="4">
        <f>35.9441 * CHOOSE(CONTROL!$C$9, $C$13, 100%, $E$13) + CHOOSE(CONTROL!$C$28, 0, 0)</f>
        <v>35.944099999999999</v>
      </c>
      <c r="E276" s="4">
        <f>175.137323455873 * CHOOSE(CONTROL!$C$9, $C$13, 100%, $E$13) + CHOOSE(CONTROL!$C$28, 0, 0)</f>
        <v>175.137323455873</v>
      </c>
    </row>
    <row r="277" spans="1:5" ht="15">
      <c r="A277" s="14">
        <v>49919</v>
      </c>
      <c r="B277" s="4">
        <f>26.8496 * CHOOSE(CONTROL!$C$9, $C$13, 100%, $E$13) + CHOOSE(CONTROL!$C$28, 0.0311, 0)</f>
        <v>26.880699999999997</v>
      </c>
      <c r="C277" s="4">
        <f>26.4863 * CHOOSE(CONTROL!$C$9, $C$13, 100%, $E$13) + CHOOSE(CONTROL!$C$28, 0.0311, 0)</f>
        <v>26.517399999999999</v>
      </c>
      <c r="D277" s="4">
        <f>35.7696 * CHOOSE(CONTROL!$C$9, $C$13, 100%, $E$13) + CHOOSE(CONTROL!$C$28, 0, 0)</f>
        <v>35.769599999999997</v>
      </c>
      <c r="E277" s="4">
        <f>168.157952141272 * CHOOSE(CONTROL!$C$9, $C$13, 100%, $E$13) + CHOOSE(CONTROL!$C$28, 0, 0)</f>
        <v>168.15795214127201</v>
      </c>
    </row>
    <row r="278" spans="1:5" ht="15">
      <c r="A278" s="14">
        <v>49949</v>
      </c>
      <c r="B278" s="4">
        <f>25.9832 * CHOOSE(CONTROL!$C$9, $C$13, 100%, $E$13) + CHOOSE(CONTROL!$C$28, 0.0003, 0)</f>
        <v>25.983499999999999</v>
      </c>
      <c r="C278" s="4">
        <f>25.6199 * CHOOSE(CONTROL!$C$9, $C$13, 100%, $E$13) + CHOOSE(CONTROL!$C$28, 0.0003, 0)</f>
        <v>25.620200000000001</v>
      </c>
      <c r="D278" s="4">
        <f>35.3022 * CHOOSE(CONTROL!$C$9, $C$13, 100%, $E$13) + CHOOSE(CONTROL!$C$28, 0, 0)</f>
        <v>35.302199999999999</v>
      </c>
      <c r="E278" s="4">
        <f>162.570827086309 * CHOOSE(CONTROL!$C$9, $C$13, 100%, $E$13) + CHOOSE(CONTROL!$C$28, 0, 0)</f>
        <v>162.57082708630901</v>
      </c>
    </row>
    <row r="279" spans="1:5" ht="15">
      <c r="A279" s="14">
        <v>49980</v>
      </c>
      <c r="B279" s="4">
        <f>25.4252 * CHOOSE(CONTROL!$C$9, $C$13, 100%, $E$13) + CHOOSE(CONTROL!$C$28, 0.0003, 0)</f>
        <v>25.4255</v>
      </c>
      <c r="C279" s="4">
        <f>25.0619 * CHOOSE(CONTROL!$C$9, $C$13, 100%, $E$13) + CHOOSE(CONTROL!$C$28, 0.0003, 0)</f>
        <v>25.062200000000001</v>
      </c>
      <c r="D279" s="4">
        <f>35.1416 * CHOOSE(CONTROL!$C$9, $C$13, 100%, $E$13) + CHOOSE(CONTROL!$C$28, 0, 0)</f>
        <v>35.141599999999997</v>
      </c>
      <c r="E279" s="4">
        <f>158.972301330535 * CHOOSE(CONTROL!$C$9, $C$13, 100%, $E$13) + CHOOSE(CONTROL!$C$28, 0, 0)</f>
        <v>158.972301330535</v>
      </c>
    </row>
    <row r="280" spans="1:5" ht="15">
      <c r="A280" s="14">
        <v>50010</v>
      </c>
      <c r="B280" s="4">
        <f>25.0391 * CHOOSE(CONTROL!$C$9, $C$13, 100%, $E$13) + CHOOSE(CONTROL!$C$28, 0.0003, 0)</f>
        <v>25.039400000000001</v>
      </c>
      <c r="C280" s="4">
        <f>24.6758 * CHOOSE(CONTROL!$C$9, $C$13, 100%, $E$13) + CHOOSE(CONTROL!$C$28, 0.0003, 0)</f>
        <v>24.676099999999998</v>
      </c>
      <c r="D280" s="4">
        <f>33.9587 * CHOOSE(CONTROL!$C$9, $C$13, 100%, $E$13) + CHOOSE(CONTROL!$C$28, 0, 0)</f>
        <v>33.9587</v>
      </c>
      <c r="E280" s="4">
        <f>156.482584077958 * CHOOSE(CONTROL!$C$9, $C$13, 100%, $E$13) + CHOOSE(CONTROL!$C$28, 0, 0)</f>
        <v>156.48258407795799</v>
      </c>
    </row>
    <row r="281" spans="1:5" ht="15">
      <c r="A281" s="14">
        <v>50041</v>
      </c>
      <c r="B281" s="4">
        <f>24.4118 * CHOOSE(CONTROL!$C$9, $C$13, 100%, $E$13) + CHOOSE(CONTROL!$C$28, 0.0003, 0)</f>
        <v>24.412099999999999</v>
      </c>
      <c r="C281" s="4">
        <f>24.0485 * CHOOSE(CONTROL!$C$9, $C$13, 100%, $E$13) + CHOOSE(CONTROL!$C$28, 0.0003, 0)</f>
        <v>24.0488</v>
      </c>
      <c r="D281" s="4">
        <f>32.8715 * CHOOSE(CONTROL!$C$9, $C$13, 100%, $E$13) + CHOOSE(CONTROL!$C$28, 0, 0)</f>
        <v>32.871499999999997</v>
      </c>
      <c r="E281" s="4">
        <f>151.995259874291 * CHOOSE(CONTROL!$C$9, $C$13, 100%, $E$13) + CHOOSE(CONTROL!$C$28, 0, 0)</f>
        <v>151.99525987429101</v>
      </c>
    </row>
    <row r="282" spans="1:5" ht="15">
      <c r="A282" s="14">
        <v>50072</v>
      </c>
      <c r="B282" s="4">
        <f>24.9731 * CHOOSE(CONTROL!$C$9, $C$13, 100%, $E$13) + CHOOSE(CONTROL!$C$28, 0.0003, 0)</f>
        <v>24.973399999999998</v>
      </c>
      <c r="C282" s="4">
        <f>24.6098 * CHOOSE(CONTROL!$C$9, $C$13, 100%, $E$13) + CHOOSE(CONTROL!$C$28, 0.0003, 0)</f>
        <v>24.610099999999999</v>
      </c>
      <c r="D282" s="4">
        <f>33.9663 * CHOOSE(CONTROL!$C$9, $C$13, 100%, $E$13) + CHOOSE(CONTROL!$C$28, 0, 0)</f>
        <v>33.966299999999997</v>
      </c>
      <c r="E282" s="4">
        <f>155.604226343262 * CHOOSE(CONTROL!$C$9, $C$13, 100%, $E$13) + CHOOSE(CONTROL!$C$28, 0, 0)</f>
        <v>155.60422634326201</v>
      </c>
    </row>
    <row r="283" spans="1:5" ht="15">
      <c r="A283" s="14">
        <v>50100</v>
      </c>
      <c r="B283" s="4">
        <f>26.447 * CHOOSE(CONTROL!$C$9, $C$13, 100%, $E$13) + CHOOSE(CONTROL!$C$28, 0.0003, 0)</f>
        <v>26.447299999999998</v>
      </c>
      <c r="C283" s="4">
        <f>26.0837 * CHOOSE(CONTROL!$C$9, $C$13, 100%, $E$13) + CHOOSE(CONTROL!$C$28, 0.0003, 0)</f>
        <v>26.084</v>
      </c>
      <c r="D283" s="4">
        <f>35.6801 * CHOOSE(CONTROL!$C$9, $C$13, 100%, $E$13) + CHOOSE(CONTROL!$C$28, 0, 0)</f>
        <v>35.680100000000003</v>
      </c>
      <c r="E283" s="4">
        <f>165.081564082903 * CHOOSE(CONTROL!$C$9, $C$13, 100%, $E$13) + CHOOSE(CONTROL!$C$28, 0, 0)</f>
        <v>165.08156408290299</v>
      </c>
    </row>
    <row r="284" spans="1:5" ht="15">
      <c r="A284" s="14">
        <v>50131</v>
      </c>
      <c r="B284" s="4">
        <f>27.4942 * CHOOSE(CONTROL!$C$9, $C$13, 100%, $E$13) + CHOOSE(CONTROL!$C$28, 0.0003, 0)</f>
        <v>27.494499999999999</v>
      </c>
      <c r="C284" s="4">
        <f>27.131 * CHOOSE(CONTROL!$C$9, $C$13, 100%, $E$13) + CHOOSE(CONTROL!$C$28, 0.0003, 0)</f>
        <v>27.1313</v>
      </c>
      <c r="D284" s="4">
        <f>36.6674 * CHOOSE(CONTROL!$C$9, $C$13, 100%, $E$13) + CHOOSE(CONTROL!$C$28, 0, 0)</f>
        <v>36.667400000000001</v>
      </c>
      <c r="E284" s="4">
        <f>171.815338849051 * CHOOSE(CONTROL!$C$9, $C$13, 100%, $E$13) + CHOOSE(CONTROL!$C$28, 0, 0)</f>
        <v>171.81533884905099</v>
      </c>
    </row>
    <row r="285" spans="1:5" ht="15">
      <c r="A285" s="14">
        <v>50161</v>
      </c>
      <c r="B285" s="4">
        <f>28.1341 * CHOOSE(CONTROL!$C$9, $C$13, 100%, $E$13) + CHOOSE(CONTROL!$C$28, 0.0311, 0)</f>
        <v>28.165199999999999</v>
      </c>
      <c r="C285" s="4">
        <f>27.7708 * CHOOSE(CONTROL!$C$9, $C$13, 100%, $E$13) + CHOOSE(CONTROL!$C$28, 0.0311, 0)</f>
        <v>27.8019</v>
      </c>
      <c r="D285" s="4">
        <f>36.2772 * CHOOSE(CONTROL!$C$9, $C$13, 100%, $E$13) + CHOOSE(CONTROL!$C$28, 0, 0)</f>
        <v>36.277200000000001</v>
      </c>
      <c r="E285" s="4">
        <f>175.929513845109 * CHOOSE(CONTROL!$C$9, $C$13, 100%, $E$13) + CHOOSE(CONTROL!$C$28, 0, 0)</f>
        <v>175.929513845109</v>
      </c>
    </row>
    <row r="286" spans="1:5" ht="15">
      <c r="A286" s="14">
        <v>50192</v>
      </c>
      <c r="B286" s="4">
        <f>28.2207 * CHOOSE(CONTROL!$C$9, $C$13, 100%, $E$13) + CHOOSE(CONTROL!$C$28, 0.0311, 0)</f>
        <v>28.251799999999999</v>
      </c>
      <c r="C286" s="4">
        <f>27.8574 * CHOOSE(CONTROL!$C$9, $C$13, 100%, $E$13) + CHOOSE(CONTROL!$C$28, 0.0311, 0)</f>
        <v>27.888499999999997</v>
      </c>
      <c r="D286" s="4">
        <f>36.595 * CHOOSE(CONTROL!$C$9, $C$13, 100%, $E$13) + CHOOSE(CONTROL!$C$28, 0, 0)</f>
        <v>36.594999999999999</v>
      </c>
      <c r="E286" s="4">
        <f>176.486178796253 * CHOOSE(CONTROL!$C$9, $C$13, 100%, $E$13) + CHOOSE(CONTROL!$C$28, 0, 0)</f>
        <v>176.486178796253</v>
      </c>
    </row>
    <row r="287" spans="1:5" ht="15">
      <c r="A287" s="14">
        <v>50222</v>
      </c>
      <c r="B287" s="4">
        <f>28.2119 * CHOOSE(CONTROL!$C$9, $C$13, 100%, $E$13) + CHOOSE(CONTROL!$C$28, 0.0311, 0)</f>
        <v>28.242999999999999</v>
      </c>
      <c r="C287" s="4">
        <f>27.8486 * CHOOSE(CONTROL!$C$9, $C$13, 100%, $E$13) + CHOOSE(CONTROL!$C$28, 0.0311, 0)</f>
        <v>27.8797</v>
      </c>
      <c r="D287" s="4">
        <f>37.1682 * CHOOSE(CONTROL!$C$9, $C$13, 100%, $E$13) + CHOOSE(CONTROL!$C$28, 0, 0)</f>
        <v>37.168199999999999</v>
      </c>
      <c r="E287" s="4">
        <f>176.430044515466 * CHOOSE(CONTROL!$C$9, $C$13, 100%, $E$13) + CHOOSE(CONTROL!$C$28, 0, 0)</f>
        <v>176.43004451546599</v>
      </c>
    </row>
    <row r="288" spans="1:5" ht="15">
      <c r="A288" s="14">
        <v>50253</v>
      </c>
      <c r="B288" s="4">
        <f>28.8689 * CHOOSE(CONTROL!$C$9, $C$13, 100%, $E$13) + CHOOSE(CONTROL!$C$28, 0.0311, 0)</f>
        <v>28.9</v>
      </c>
      <c r="C288" s="4">
        <f>28.5056 * CHOOSE(CONTROL!$C$9, $C$13, 100%, $E$13) + CHOOSE(CONTROL!$C$28, 0.0311, 0)</f>
        <v>28.5367</v>
      </c>
      <c r="D288" s="4">
        <f>36.7896 * CHOOSE(CONTROL!$C$9, $C$13, 100%, $E$13) + CHOOSE(CONTROL!$C$28, 0, 0)</f>
        <v>36.7896</v>
      </c>
      <c r="E288" s="4">
        <f>180.654149144734 * CHOOSE(CONTROL!$C$9, $C$13, 100%, $E$13) + CHOOSE(CONTROL!$C$28, 0, 0)</f>
        <v>180.65414914473399</v>
      </c>
    </row>
    <row r="289" spans="1:5" ht="15">
      <c r="A289" s="14">
        <v>50284</v>
      </c>
      <c r="B289" s="4">
        <f>27.7492 * CHOOSE(CONTROL!$C$9, $C$13, 100%, $E$13) + CHOOSE(CONTROL!$C$28, 0.0311, 0)</f>
        <v>27.780299999999997</v>
      </c>
      <c r="C289" s="4">
        <f>27.386 * CHOOSE(CONTROL!$C$9, $C$13, 100%, $E$13) + CHOOSE(CONTROL!$C$28, 0.0311, 0)</f>
        <v>27.417099999999998</v>
      </c>
      <c r="D289" s="4">
        <f>36.6108 * CHOOSE(CONTROL!$C$9, $C$13, 100%, $E$13) + CHOOSE(CONTROL!$C$28, 0, 0)</f>
        <v>36.610799999999998</v>
      </c>
      <c r="E289" s="4">
        <f>173.454927633722 * CHOOSE(CONTROL!$C$9, $C$13, 100%, $E$13) + CHOOSE(CONTROL!$C$28, 0, 0)</f>
        <v>173.45492763372201</v>
      </c>
    </row>
    <row r="290" spans="1:5" ht="15">
      <c r="A290" s="14">
        <v>50314</v>
      </c>
      <c r="B290" s="4">
        <f>26.853 * CHOOSE(CONTROL!$C$9, $C$13, 100%, $E$13) + CHOOSE(CONTROL!$C$28, 0.0003, 0)</f>
        <v>26.853300000000001</v>
      </c>
      <c r="C290" s="4">
        <f>26.4897 * CHOOSE(CONTROL!$C$9, $C$13, 100%, $E$13) + CHOOSE(CONTROL!$C$28, 0.0003, 0)</f>
        <v>26.49</v>
      </c>
      <c r="D290" s="4">
        <f>36.1318 * CHOOSE(CONTROL!$C$9, $C$13, 100%, $E$13) + CHOOSE(CONTROL!$C$28, 0, 0)</f>
        <v>36.131799999999998</v>
      </c>
      <c r="E290" s="4">
        <f>167.691808139527 * CHOOSE(CONTROL!$C$9, $C$13, 100%, $E$13) + CHOOSE(CONTROL!$C$28, 0, 0)</f>
        <v>167.69180813952701</v>
      </c>
    </row>
    <row r="291" spans="1:5" ht="15">
      <c r="A291" s="14">
        <v>50345</v>
      </c>
      <c r="B291" s="4">
        <f>26.2757 * CHOOSE(CONTROL!$C$9, $C$13, 100%, $E$13) + CHOOSE(CONTROL!$C$28, 0.0003, 0)</f>
        <v>26.276</v>
      </c>
      <c r="C291" s="4">
        <f>25.9124 * CHOOSE(CONTROL!$C$9, $C$13, 100%, $E$13) + CHOOSE(CONTROL!$C$28, 0.0003, 0)</f>
        <v>25.912700000000001</v>
      </c>
      <c r="D291" s="4">
        <f>35.9672 * CHOOSE(CONTROL!$C$9, $C$13, 100%, $E$13) + CHOOSE(CONTROL!$C$28, 0, 0)</f>
        <v>35.967199999999998</v>
      </c>
      <c r="E291" s="4">
        <f>163.979928822446 * CHOOSE(CONTROL!$C$9, $C$13, 100%, $E$13) + CHOOSE(CONTROL!$C$28, 0, 0)</f>
        <v>163.979928822446</v>
      </c>
    </row>
    <row r="292" spans="1:5" ht="15">
      <c r="A292" s="14">
        <v>50375</v>
      </c>
      <c r="B292" s="4">
        <f>25.8763 * CHOOSE(CONTROL!$C$9, $C$13, 100%, $E$13) + CHOOSE(CONTROL!$C$28, 0.0003, 0)</f>
        <v>25.8766</v>
      </c>
      <c r="C292" s="4">
        <f>25.513 * CHOOSE(CONTROL!$C$9, $C$13, 100%, $E$13) + CHOOSE(CONTROL!$C$28, 0.0003, 0)</f>
        <v>25.513300000000001</v>
      </c>
      <c r="D292" s="4">
        <f>34.7549 * CHOOSE(CONTROL!$C$9, $C$13, 100%, $E$13) + CHOOSE(CONTROL!$C$28, 0, 0)</f>
        <v>34.754899999999999</v>
      </c>
      <c r="E292" s="4">
        <f>161.411785476413 * CHOOSE(CONTROL!$C$9, $C$13, 100%, $E$13) + CHOOSE(CONTROL!$C$28, 0, 0)</f>
        <v>161.411785476413</v>
      </c>
    </row>
    <row r="293" spans="1:5" ht="15">
      <c r="A293" s="13">
        <v>50436</v>
      </c>
      <c r="B293" s="4">
        <f>25.2273 * CHOOSE(CONTROL!$C$9, $C$13, 100%, $E$13) + CHOOSE(CONTROL!$C$28, 0.0003, 0)</f>
        <v>25.227599999999999</v>
      </c>
      <c r="C293" s="4">
        <f>24.8641 * CHOOSE(CONTROL!$C$9, $C$13, 100%, $E$13) + CHOOSE(CONTROL!$C$28, 0.0003, 0)</f>
        <v>24.8644</v>
      </c>
      <c r="D293" s="4">
        <f>33.6408 * CHOOSE(CONTROL!$C$9, $C$13, 100%, $E$13) + CHOOSE(CONTROL!$C$28, 0, 0)</f>
        <v>33.640799999999999</v>
      </c>
      <c r="E293" s="4">
        <f>156.783110560331 * CHOOSE(CONTROL!$C$9, $C$13, 100%, $E$13) + CHOOSE(CONTROL!$C$28, 0, 0)</f>
        <v>156.78311056033101</v>
      </c>
    </row>
    <row r="294" spans="1:5" ht="15">
      <c r="A294" s="13">
        <v>50464</v>
      </c>
      <c r="B294" s="4">
        <f>25.808 * CHOOSE(CONTROL!$C$9, $C$13, 100%, $E$13) + CHOOSE(CONTROL!$C$28, 0.0003, 0)</f>
        <v>25.808299999999999</v>
      </c>
      <c r="C294" s="4">
        <f>25.4447 * CHOOSE(CONTROL!$C$9, $C$13, 100%, $E$13) + CHOOSE(CONTROL!$C$28, 0.0003, 0)</f>
        <v>25.445</v>
      </c>
      <c r="D294" s="4">
        <f>34.7627 * CHOOSE(CONTROL!$C$9, $C$13, 100%, $E$13) + CHOOSE(CONTROL!$C$28, 0, 0)</f>
        <v>34.762700000000002</v>
      </c>
      <c r="E294" s="4">
        <f>160.505759473074 * CHOOSE(CONTROL!$C$9, $C$13, 100%, $E$13) + CHOOSE(CONTROL!$C$28, 0, 0)</f>
        <v>160.50575947307399</v>
      </c>
    </row>
    <row r="295" spans="1:5" ht="15">
      <c r="A295" s="13">
        <v>50495</v>
      </c>
      <c r="B295" s="4">
        <f>27.3327 * CHOOSE(CONTROL!$C$9, $C$13, 100%, $E$13) + CHOOSE(CONTROL!$C$28, 0.0003, 0)</f>
        <v>27.332999999999998</v>
      </c>
      <c r="C295" s="4">
        <f>26.9695 * CHOOSE(CONTROL!$C$9, $C$13, 100%, $E$13) + CHOOSE(CONTROL!$C$28, 0.0003, 0)</f>
        <v>26.969799999999999</v>
      </c>
      <c r="D295" s="4">
        <f>36.5191 * CHOOSE(CONTROL!$C$9, $C$13, 100%, $E$13) + CHOOSE(CONTROL!$C$28, 0, 0)</f>
        <v>36.519100000000002</v>
      </c>
      <c r="E295" s="4">
        <f>170.281633351515 * CHOOSE(CONTROL!$C$9, $C$13, 100%, $E$13) + CHOOSE(CONTROL!$C$28, 0, 0)</f>
        <v>170.28163335151501</v>
      </c>
    </row>
    <row r="296" spans="1:5" ht="15">
      <c r="A296" s="13">
        <v>50525</v>
      </c>
      <c r="B296" s="4">
        <f>28.4161 * CHOOSE(CONTROL!$C$9, $C$13, 100%, $E$13) + CHOOSE(CONTROL!$C$28, 0.0003, 0)</f>
        <v>28.416399999999999</v>
      </c>
      <c r="C296" s="4">
        <f>28.0528 * CHOOSE(CONTROL!$C$9, $C$13, 100%, $E$13) + CHOOSE(CONTROL!$C$28, 0.0003, 0)</f>
        <v>28.053100000000001</v>
      </c>
      <c r="D296" s="4">
        <f>37.5308 * CHOOSE(CONTROL!$C$9, $C$13, 100%, $E$13) + CHOOSE(CONTROL!$C$28, 0, 0)</f>
        <v>37.530799999999999</v>
      </c>
      <c r="E296" s="4">
        <f>177.227522022796 * CHOOSE(CONTROL!$C$9, $C$13, 100%, $E$13) + CHOOSE(CONTROL!$C$28, 0, 0)</f>
        <v>177.22752202279599</v>
      </c>
    </row>
    <row r="297" spans="1:5" ht="15">
      <c r="A297" s="13">
        <v>50556</v>
      </c>
      <c r="B297" s="4">
        <f>29.078 * CHOOSE(CONTROL!$C$9, $C$13, 100%, $E$13) + CHOOSE(CONTROL!$C$28, 0.0311, 0)</f>
        <v>29.109099999999998</v>
      </c>
      <c r="C297" s="4">
        <f>28.7147 * CHOOSE(CONTROL!$C$9, $C$13, 100%, $E$13) + CHOOSE(CONTROL!$C$28, 0.0311, 0)</f>
        <v>28.745799999999999</v>
      </c>
      <c r="D297" s="4">
        <f>37.131 * CHOOSE(CONTROL!$C$9, $C$13, 100%, $E$13) + CHOOSE(CONTROL!$C$28, 0, 0)</f>
        <v>37.131</v>
      </c>
      <c r="E297" s="4">
        <f>181.47129353123 * CHOOSE(CONTROL!$C$9, $C$13, 100%, $E$13) + CHOOSE(CONTROL!$C$28, 0, 0)</f>
        <v>181.47129353123</v>
      </c>
    </row>
    <row r="298" spans="1:5" ht="15">
      <c r="A298" s="13">
        <v>50586</v>
      </c>
      <c r="B298" s="4">
        <f>29.1676 * CHOOSE(CONTROL!$C$9, $C$13, 100%, $E$13) + CHOOSE(CONTROL!$C$28, 0.0311, 0)</f>
        <v>29.198699999999999</v>
      </c>
      <c r="C298" s="4">
        <f>28.8043 * CHOOSE(CONTROL!$C$9, $C$13, 100%, $E$13) + CHOOSE(CONTROL!$C$28, 0.0311, 0)</f>
        <v>28.8354</v>
      </c>
      <c r="D298" s="4">
        <f>37.4566 * CHOOSE(CONTROL!$C$9, $C$13, 100%, $E$13) + CHOOSE(CONTROL!$C$28, 0, 0)</f>
        <v>37.456600000000002</v>
      </c>
      <c r="E298" s="4">
        <f>182.045493428335 * CHOOSE(CONTROL!$C$9, $C$13, 100%, $E$13) + CHOOSE(CONTROL!$C$28, 0, 0)</f>
        <v>182.04549342833499</v>
      </c>
    </row>
    <row r="299" spans="1:5" ht="15">
      <c r="A299" s="13">
        <v>50617</v>
      </c>
      <c r="B299" s="4">
        <f>29.1586 * CHOOSE(CONTROL!$C$9, $C$13, 100%, $E$13) + CHOOSE(CONTROL!$C$28, 0.0311, 0)</f>
        <v>29.189699999999998</v>
      </c>
      <c r="C299" s="4">
        <f>28.7953 * CHOOSE(CONTROL!$C$9, $C$13, 100%, $E$13) + CHOOSE(CONTROL!$C$28, 0.0311, 0)</f>
        <v>28.8264</v>
      </c>
      <c r="D299" s="4">
        <f>38.0441 * CHOOSE(CONTROL!$C$9, $C$13, 100%, $E$13) + CHOOSE(CONTROL!$C$28, 0, 0)</f>
        <v>38.0441</v>
      </c>
      <c r="E299" s="4">
        <f>181.987590917703 * CHOOSE(CONTROL!$C$9, $C$13, 100%, $E$13) + CHOOSE(CONTROL!$C$28, 0, 0)</f>
        <v>181.98759091770299</v>
      </c>
    </row>
    <row r="300" spans="1:5" ht="15">
      <c r="A300" s="13">
        <v>50648</v>
      </c>
      <c r="B300" s="4">
        <f>29.8382 * CHOOSE(CONTROL!$C$9, $C$13, 100%, $E$13) + CHOOSE(CONTROL!$C$28, 0.0311, 0)</f>
        <v>29.869299999999999</v>
      </c>
      <c r="C300" s="4">
        <f>29.4749 * CHOOSE(CONTROL!$C$9, $C$13, 100%, $E$13) + CHOOSE(CONTROL!$C$28, 0.0311, 0)</f>
        <v>29.506</v>
      </c>
      <c r="D300" s="4">
        <f>37.6561 * CHOOSE(CONTROL!$C$9, $C$13, 100%, $E$13) + CHOOSE(CONTROL!$C$28, 0, 0)</f>
        <v>37.656100000000002</v>
      </c>
      <c r="E300" s="4">
        <f>186.344754842793 * CHOOSE(CONTROL!$C$9, $C$13, 100%, $E$13) + CHOOSE(CONTROL!$C$28, 0, 0)</f>
        <v>186.34475484279301</v>
      </c>
    </row>
    <row r="301" spans="1:5" ht="15">
      <c r="A301" s="13">
        <v>50678</v>
      </c>
      <c r="B301" s="4">
        <f>28.6799 * CHOOSE(CONTROL!$C$9, $C$13, 100%, $E$13) + CHOOSE(CONTROL!$C$28, 0.0311, 0)</f>
        <v>28.710999999999999</v>
      </c>
      <c r="C301" s="4">
        <f>28.3166 * CHOOSE(CONTROL!$C$9, $C$13, 100%, $E$13) + CHOOSE(CONTROL!$C$28, 0.0311, 0)</f>
        <v>28.3477</v>
      </c>
      <c r="D301" s="4">
        <f>37.4728 * CHOOSE(CONTROL!$C$9, $C$13, 100%, $E$13) + CHOOSE(CONTROL!$C$28, 0, 0)</f>
        <v>37.472799999999999</v>
      </c>
      <c r="E301" s="4">
        <f>178.918757854185 * CHOOSE(CONTROL!$C$9, $C$13, 100%, $E$13) + CHOOSE(CONTROL!$C$28, 0, 0)</f>
        <v>178.918757854185</v>
      </c>
    </row>
    <row r="302" spans="1:5" ht="15">
      <c r="A302" s="13">
        <v>50709</v>
      </c>
      <c r="B302" s="4">
        <f>27.7527 * CHOOSE(CONTROL!$C$9, $C$13, 100%, $E$13) + CHOOSE(CONTROL!$C$28, 0.0003, 0)</f>
        <v>27.753</v>
      </c>
      <c r="C302" s="4">
        <f>27.3894 * CHOOSE(CONTROL!$C$9, $C$13, 100%, $E$13) + CHOOSE(CONTROL!$C$28, 0.0003, 0)</f>
        <v>27.389699999999998</v>
      </c>
      <c r="D302" s="4">
        <f>36.982 * CHOOSE(CONTROL!$C$9, $C$13, 100%, $E$13) + CHOOSE(CONTROL!$C$28, 0, 0)</f>
        <v>36.981999999999999</v>
      </c>
      <c r="E302" s="4">
        <f>172.974100095922 * CHOOSE(CONTROL!$C$9, $C$13, 100%, $E$13) + CHOOSE(CONTROL!$C$28, 0, 0)</f>
        <v>172.97410009592201</v>
      </c>
    </row>
    <row r="303" spans="1:5" ht="15">
      <c r="A303" s="13">
        <v>50739</v>
      </c>
      <c r="B303" s="4">
        <f>27.1555 * CHOOSE(CONTROL!$C$9, $C$13, 100%, $E$13) + CHOOSE(CONTROL!$C$28, 0.0003, 0)</f>
        <v>27.155799999999999</v>
      </c>
      <c r="C303" s="4">
        <f>26.7922 * CHOOSE(CONTROL!$C$9, $C$13, 100%, $E$13) + CHOOSE(CONTROL!$C$28, 0.0003, 0)</f>
        <v>26.7925</v>
      </c>
      <c r="D303" s="4">
        <f>36.8132 * CHOOSE(CONTROL!$C$9, $C$13, 100%, $E$13) + CHOOSE(CONTROL!$C$28, 0, 0)</f>
        <v>36.813200000000002</v>
      </c>
      <c r="E303" s="4">
        <f>169.145296580354 * CHOOSE(CONTROL!$C$9, $C$13, 100%, $E$13) + CHOOSE(CONTROL!$C$28, 0, 0)</f>
        <v>169.145296580354</v>
      </c>
    </row>
    <row r="304" spans="1:5" ht="15">
      <c r="A304" s="13">
        <v>50770</v>
      </c>
      <c r="B304" s="4">
        <f>26.7423 * CHOOSE(CONTROL!$C$9, $C$13, 100%, $E$13) + CHOOSE(CONTROL!$C$28, 0.0003, 0)</f>
        <v>26.742599999999999</v>
      </c>
      <c r="C304" s="4">
        <f>26.3791 * CHOOSE(CONTROL!$C$9, $C$13, 100%, $E$13) + CHOOSE(CONTROL!$C$28, 0.0003, 0)</f>
        <v>26.3794</v>
      </c>
      <c r="D304" s="4">
        <f>35.5709 * CHOOSE(CONTROL!$C$9, $C$13, 100%, $E$13) + CHOOSE(CONTROL!$C$28, 0, 0)</f>
        <v>35.570900000000002</v>
      </c>
      <c r="E304" s="4">
        <f>166.49625671892 * CHOOSE(CONTROL!$C$9, $C$13, 100%, $E$13) + CHOOSE(CONTROL!$C$28, 0, 0)</f>
        <v>166.49625671891999</v>
      </c>
    </row>
    <row r="305" spans="1:5" ht="15">
      <c r="A305" s="13">
        <v>50801</v>
      </c>
      <c r="B305" s="4">
        <f>26.071 * CHOOSE(CONTROL!$C$9, $C$13, 100%, $E$13) + CHOOSE(CONTROL!$C$28, 0.0003, 0)</f>
        <v>26.071300000000001</v>
      </c>
      <c r="C305" s="4">
        <f>25.7077 * CHOOSE(CONTROL!$C$9, $C$13, 100%, $E$13) + CHOOSE(CONTROL!$C$28, 0.0003, 0)</f>
        <v>25.707999999999998</v>
      </c>
      <c r="D305" s="4">
        <f>34.4291 * CHOOSE(CONTROL!$C$9, $C$13, 100%, $E$13) + CHOOSE(CONTROL!$C$28, 0, 0)</f>
        <v>34.429099999999998</v>
      </c>
      <c r="E305" s="4">
        <f>161.721778542982 * CHOOSE(CONTROL!$C$9, $C$13, 100%, $E$13) + CHOOSE(CONTROL!$C$28, 0, 0)</f>
        <v>161.72177854298201</v>
      </c>
    </row>
    <row r="306" spans="1:5" ht="15">
      <c r="A306" s="13">
        <v>50829</v>
      </c>
      <c r="B306" s="4">
        <f>26.6717 * CHOOSE(CONTROL!$C$9, $C$13, 100%, $E$13) + CHOOSE(CONTROL!$C$28, 0.0003, 0)</f>
        <v>26.672000000000001</v>
      </c>
      <c r="C306" s="4">
        <f>26.3084 * CHOOSE(CONTROL!$C$9, $C$13, 100%, $E$13) + CHOOSE(CONTROL!$C$28, 0.0003, 0)</f>
        <v>26.308699999999998</v>
      </c>
      <c r="D306" s="4">
        <f>35.5789 * CHOOSE(CONTROL!$C$9, $C$13, 100%, $E$13) + CHOOSE(CONTROL!$C$28, 0, 0)</f>
        <v>35.578899999999997</v>
      </c>
      <c r="E306" s="4">
        <f>165.561690896476 * CHOOSE(CONTROL!$C$9, $C$13, 100%, $E$13) + CHOOSE(CONTROL!$C$28, 0, 0)</f>
        <v>165.56169089647599</v>
      </c>
    </row>
    <row r="307" spans="1:5" ht="15">
      <c r="A307" s="13">
        <v>50860</v>
      </c>
      <c r="B307" s="4">
        <f>28.249 * CHOOSE(CONTROL!$C$9, $C$13, 100%, $E$13) + CHOOSE(CONTROL!$C$28, 0.0003, 0)</f>
        <v>28.249299999999998</v>
      </c>
      <c r="C307" s="4">
        <f>27.8858 * CHOOSE(CONTROL!$C$9, $C$13, 100%, $E$13) + CHOOSE(CONTROL!$C$28, 0.0003, 0)</f>
        <v>27.886099999999999</v>
      </c>
      <c r="D307" s="4">
        <f>37.3788 * CHOOSE(CONTROL!$C$9, $C$13, 100%, $E$13) + CHOOSE(CONTROL!$C$28, 0, 0)</f>
        <v>37.378799999999998</v>
      </c>
      <c r="E307" s="4">
        <f>175.645504802088 * CHOOSE(CONTROL!$C$9, $C$13, 100%, $E$13) + CHOOSE(CONTROL!$C$28, 0, 0)</f>
        <v>175.645504802088</v>
      </c>
    </row>
    <row r="308" spans="1:5" ht="15">
      <c r="A308" s="13">
        <v>50890</v>
      </c>
      <c r="B308" s="4">
        <f>29.3698 * CHOOSE(CONTROL!$C$9, $C$13, 100%, $E$13) + CHOOSE(CONTROL!$C$28, 0.0003, 0)</f>
        <v>29.370100000000001</v>
      </c>
      <c r="C308" s="4">
        <f>29.0065 * CHOOSE(CONTROL!$C$9, $C$13, 100%, $E$13) + CHOOSE(CONTROL!$C$28, 0.0003, 0)</f>
        <v>29.006799999999998</v>
      </c>
      <c r="D308" s="4">
        <f>38.4156 * CHOOSE(CONTROL!$C$9, $C$13, 100%, $E$13) + CHOOSE(CONTROL!$C$28, 0, 0)</f>
        <v>38.415599999999998</v>
      </c>
      <c r="E308" s="4">
        <f>182.810188966514 * CHOOSE(CONTROL!$C$9, $C$13, 100%, $E$13) + CHOOSE(CONTROL!$C$28, 0, 0)</f>
        <v>182.810188966514</v>
      </c>
    </row>
    <row r="309" spans="1:5" ht="15">
      <c r="A309" s="13">
        <v>50921</v>
      </c>
      <c r="B309" s="4">
        <f>30.0545 * CHOOSE(CONTROL!$C$9, $C$13, 100%, $E$13) + CHOOSE(CONTROL!$C$28, 0.0311, 0)</f>
        <v>30.085599999999999</v>
      </c>
      <c r="C309" s="4">
        <f>29.6913 * CHOOSE(CONTROL!$C$9, $C$13, 100%, $E$13) + CHOOSE(CONTROL!$C$28, 0.0311, 0)</f>
        <v>29.722399999999997</v>
      </c>
      <c r="D309" s="4">
        <f>38.0059 * CHOOSE(CONTROL!$C$9, $C$13, 100%, $E$13) + CHOOSE(CONTROL!$C$28, 0, 0)</f>
        <v>38.005899999999997</v>
      </c>
      <c r="E309" s="4">
        <f>187.187639277464 * CHOOSE(CONTROL!$C$9, $C$13, 100%, $E$13) + CHOOSE(CONTROL!$C$28, 0, 0)</f>
        <v>187.187639277464</v>
      </c>
    </row>
    <row r="310" spans="1:5" ht="15">
      <c r="A310" s="13">
        <v>50951</v>
      </c>
      <c r="B310" s="4">
        <f>30.1472 * CHOOSE(CONTROL!$C$9, $C$13, 100%, $E$13) + CHOOSE(CONTROL!$C$28, 0.0311, 0)</f>
        <v>30.1783</v>
      </c>
      <c r="C310" s="4">
        <f>29.7839 * CHOOSE(CONTROL!$C$9, $C$13, 100%, $E$13) + CHOOSE(CONTROL!$C$28, 0.0311, 0)</f>
        <v>29.814999999999998</v>
      </c>
      <c r="D310" s="4">
        <f>38.3396 * CHOOSE(CONTROL!$C$9, $C$13, 100%, $E$13) + CHOOSE(CONTROL!$C$28, 0, 0)</f>
        <v>38.339599999999997</v>
      </c>
      <c r="E310" s="4">
        <f>187.779926471328 * CHOOSE(CONTROL!$C$9, $C$13, 100%, $E$13) + CHOOSE(CONTROL!$C$28, 0, 0)</f>
        <v>187.779926471328</v>
      </c>
    </row>
    <row r="311" spans="1:5" ht="15">
      <c r="A311" s="13">
        <v>50982</v>
      </c>
      <c r="B311" s="4">
        <f>30.1378 * CHOOSE(CONTROL!$C$9, $C$13, 100%, $E$13) + CHOOSE(CONTROL!$C$28, 0.0311, 0)</f>
        <v>30.168899999999997</v>
      </c>
      <c r="C311" s="4">
        <f>29.7746 * CHOOSE(CONTROL!$C$9, $C$13, 100%, $E$13) + CHOOSE(CONTROL!$C$28, 0.0311, 0)</f>
        <v>29.805699999999998</v>
      </c>
      <c r="D311" s="4">
        <f>38.9416 * CHOOSE(CONTROL!$C$9, $C$13, 100%, $E$13) + CHOOSE(CONTROL!$C$28, 0, 0)</f>
        <v>38.941600000000001</v>
      </c>
      <c r="E311" s="4">
        <f>187.720200031611 * CHOOSE(CONTROL!$C$9, $C$13, 100%, $E$13) + CHOOSE(CONTROL!$C$28, 0, 0)</f>
        <v>187.720200031611</v>
      </c>
    </row>
    <row r="312" spans="1:5" ht="15">
      <c r="A312" s="13">
        <v>51013</v>
      </c>
      <c r="B312" s="4">
        <f>30.8409 * CHOOSE(CONTROL!$C$9, $C$13, 100%, $E$13) + CHOOSE(CONTROL!$C$28, 0.0311, 0)</f>
        <v>30.872</v>
      </c>
      <c r="C312" s="4">
        <f>30.4776 * CHOOSE(CONTROL!$C$9, $C$13, 100%, $E$13) + CHOOSE(CONTROL!$C$28, 0.0311, 0)</f>
        <v>30.508699999999997</v>
      </c>
      <c r="D312" s="4">
        <f>38.544 * CHOOSE(CONTROL!$C$9, $C$13, 100%, $E$13) + CHOOSE(CONTROL!$C$28, 0, 0)</f>
        <v>38.543999999999997</v>
      </c>
      <c r="E312" s="4">
        <f>192.214614620341 * CHOOSE(CONTROL!$C$9, $C$13, 100%, $E$13) + CHOOSE(CONTROL!$C$28, 0, 0)</f>
        <v>192.214614620341</v>
      </c>
    </row>
    <row r="313" spans="1:5" ht="15">
      <c r="A313" s="13">
        <v>51043</v>
      </c>
      <c r="B313" s="4">
        <f>29.6427 * CHOOSE(CONTROL!$C$9, $C$13, 100%, $E$13) + CHOOSE(CONTROL!$C$28, 0.0311, 0)</f>
        <v>29.6738</v>
      </c>
      <c r="C313" s="4">
        <f>29.2794 * CHOOSE(CONTROL!$C$9, $C$13, 100%, $E$13) + CHOOSE(CONTROL!$C$28, 0.0311, 0)</f>
        <v>29.310499999999998</v>
      </c>
      <c r="D313" s="4">
        <f>38.3562 * CHOOSE(CONTROL!$C$9, $C$13, 100%, $E$13) + CHOOSE(CONTROL!$C$28, 0, 0)</f>
        <v>38.356200000000001</v>
      </c>
      <c r="E313" s="4">
        <f>184.554698726591 * CHOOSE(CONTROL!$C$9, $C$13, 100%, $E$13) + CHOOSE(CONTROL!$C$28, 0, 0)</f>
        <v>184.554698726591</v>
      </c>
    </row>
    <row r="314" spans="1:5" ht="15">
      <c r="A314" s="13">
        <v>51074</v>
      </c>
      <c r="B314" s="4">
        <f>28.6835 * CHOOSE(CONTROL!$C$9, $C$13, 100%, $E$13) + CHOOSE(CONTROL!$C$28, 0.0003, 0)</f>
        <v>28.683799999999998</v>
      </c>
      <c r="C314" s="4">
        <f>28.3202 * CHOOSE(CONTROL!$C$9, $C$13, 100%, $E$13) + CHOOSE(CONTROL!$C$28, 0.0003, 0)</f>
        <v>28.320499999999999</v>
      </c>
      <c r="D314" s="4">
        <f>37.8532 * CHOOSE(CONTROL!$C$9, $C$13, 100%, $E$13) + CHOOSE(CONTROL!$C$28, 0, 0)</f>
        <v>37.853200000000001</v>
      </c>
      <c r="E314" s="4">
        <f>178.422784248944 * CHOOSE(CONTROL!$C$9, $C$13, 100%, $E$13) + CHOOSE(CONTROL!$C$28, 0, 0)</f>
        <v>178.422784248944</v>
      </c>
    </row>
    <row r="315" spans="1:5" ht="15">
      <c r="A315" s="13">
        <v>51104</v>
      </c>
      <c r="B315" s="4">
        <f>28.0657 * CHOOSE(CONTROL!$C$9, $C$13, 100%, $E$13) + CHOOSE(CONTROL!$C$28, 0.0003, 0)</f>
        <v>28.065999999999999</v>
      </c>
      <c r="C315" s="4">
        <f>27.7024 * CHOOSE(CONTROL!$C$9, $C$13, 100%, $E$13) + CHOOSE(CONTROL!$C$28, 0.0003, 0)</f>
        <v>27.7027</v>
      </c>
      <c r="D315" s="4">
        <f>37.6803 * CHOOSE(CONTROL!$C$9, $C$13, 100%, $E$13) + CHOOSE(CONTROL!$C$28, 0, 0)</f>
        <v>37.680300000000003</v>
      </c>
      <c r="E315" s="4">
        <f>174.473373422635 * CHOOSE(CONTROL!$C$9, $C$13, 100%, $E$13) + CHOOSE(CONTROL!$C$28, 0, 0)</f>
        <v>174.47337342263501</v>
      </c>
    </row>
    <row r="316" spans="1:5" ht="15">
      <c r="A316" s="13">
        <v>51135</v>
      </c>
      <c r="B316" s="4">
        <f>27.6383 * CHOOSE(CONTROL!$C$9, $C$13, 100%, $E$13) + CHOOSE(CONTROL!$C$28, 0.0003, 0)</f>
        <v>27.6386</v>
      </c>
      <c r="C316" s="4">
        <f>27.275 * CHOOSE(CONTROL!$C$9, $C$13, 100%, $E$13) + CHOOSE(CONTROL!$C$28, 0.0003, 0)</f>
        <v>27.275299999999998</v>
      </c>
      <c r="D316" s="4">
        <f>36.4072 * CHOOSE(CONTROL!$C$9, $C$13, 100%, $E$13) + CHOOSE(CONTROL!$C$28, 0, 0)</f>
        <v>36.407200000000003</v>
      </c>
      <c r="E316" s="4">
        <f>171.740888805566 * CHOOSE(CONTROL!$C$9, $C$13, 100%, $E$13) + CHOOSE(CONTROL!$C$28, 0, 0)</f>
        <v>171.74088880556599</v>
      </c>
    </row>
    <row r="317" spans="1:5" ht="15">
      <c r="A317" s="13">
        <v>51166</v>
      </c>
      <c r="B317" s="4">
        <f>26.9438 * CHOOSE(CONTROL!$C$9, $C$13, 100%, $E$13) + CHOOSE(CONTROL!$C$28, 0.0003, 0)</f>
        <v>26.944099999999999</v>
      </c>
      <c r="C317" s="4">
        <f>26.5805 * CHOOSE(CONTROL!$C$9, $C$13, 100%, $E$13) + CHOOSE(CONTROL!$C$28, 0.0003, 0)</f>
        <v>26.5808</v>
      </c>
      <c r="D317" s="4">
        <f>35.2371 * CHOOSE(CONTROL!$C$9, $C$13, 100%, $E$13) + CHOOSE(CONTROL!$C$28, 0, 0)</f>
        <v>35.237099999999998</v>
      </c>
      <c r="E317" s="4">
        <f>166.816014567086 * CHOOSE(CONTROL!$C$9, $C$13, 100%, $E$13) + CHOOSE(CONTROL!$C$28, 0, 0)</f>
        <v>166.816014567086</v>
      </c>
    </row>
    <row r="318" spans="1:5" ht="15">
      <c r="A318" s="13">
        <v>51194</v>
      </c>
      <c r="B318" s="4">
        <f>27.5652 * CHOOSE(CONTROL!$C$9, $C$13, 100%, $E$13) + CHOOSE(CONTROL!$C$28, 0.0003, 0)</f>
        <v>27.5655</v>
      </c>
      <c r="C318" s="4">
        <f>27.2019 * CHOOSE(CONTROL!$C$9, $C$13, 100%, $E$13) + CHOOSE(CONTROL!$C$28, 0.0003, 0)</f>
        <v>27.202199999999998</v>
      </c>
      <c r="D318" s="4">
        <f>36.4154 * CHOOSE(CONTROL!$C$9, $C$13, 100%, $E$13) + CHOOSE(CONTROL!$C$28, 0, 0)</f>
        <v>36.415399999999998</v>
      </c>
      <c r="E318" s="4">
        <f>170.776884159715 * CHOOSE(CONTROL!$C$9, $C$13, 100%, $E$13) + CHOOSE(CONTROL!$C$28, 0, 0)</f>
        <v>170.776884159715</v>
      </c>
    </row>
    <row r="319" spans="1:5" ht="15">
      <c r="A319" s="13">
        <v>51226</v>
      </c>
      <c r="B319" s="4">
        <f>29.197 * CHOOSE(CONTROL!$C$9, $C$13, 100%, $E$13) + CHOOSE(CONTROL!$C$28, 0.0003, 0)</f>
        <v>29.197299999999998</v>
      </c>
      <c r="C319" s="4">
        <f>28.8337 * CHOOSE(CONTROL!$C$9, $C$13, 100%, $E$13) + CHOOSE(CONTROL!$C$28, 0.0003, 0)</f>
        <v>28.834</v>
      </c>
      <c r="D319" s="4">
        <f>38.2599 * CHOOSE(CONTROL!$C$9, $C$13, 100%, $E$13) + CHOOSE(CONTROL!$C$28, 0, 0)</f>
        <v>38.259900000000002</v>
      </c>
      <c r="E319" s="4">
        <f>181.178338203353 * CHOOSE(CONTROL!$C$9, $C$13, 100%, $E$13) + CHOOSE(CONTROL!$C$28, 0, 0)</f>
        <v>181.17833820335301</v>
      </c>
    </row>
    <row r="320" spans="1:5" ht="15">
      <c r="A320" s="13">
        <v>51256</v>
      </c>
      <c r="B320" s="4">
        <f>30.3564 * CHOOSE(CONTROL!$C$9, $C$13, 100%, $E$13) + CHOOSE(CONTROL!$C$28, 0.0003, 0)</f>
        <v>30.3567</v>
      </c>
      <c r="C320" s="4">
        <f>29.9931 * CHOOSE(CONTROL!$C$9, $C$13, 100%, $E$13) + CHOOSE(CONTROL!$C$28, 0.0003, 0)</f>
        <v>29.993399999999998</v>
      </c>
      <c r="D320" s="4">
        <f>39.3224 * CHOOSE(CONTROL!$C$9, $C$13, 100%, $E$13) + CHOOSE(CONTROL!$C$28, 0, 0)</f>
        <v>39.322400000000002</v>
      </c>
      <c r="E320" s="4">
        <f>188.568709918959 * CHOOSE(CONTROL!$C$9, $C$13, 100%, $E$13) + CHOOSE(CONTROL!$C$28, 0, 0)</f>
        <v>188.568709918959</v>
      </c>
    </row>
    <row r="321" spans="1:5" ht="15">
      <c r="A321" s="13">
        <v>51287</v>
      </c>
      <c r="B321" s="4">
        <f>31.0647 * CHOOSE(CONTROL!$C$9, $C$13, 100%, $E$13) + CHOOSE(CONTROL!$C$28, 0.0311, 0)</f>
        <v>31.095799999999997</v>
      </c>
      <c r="C321" s="4">
        <f>30.7015 * CHOOSE(CONTROL!$C$9, $C$13, 100%, $E$13) + CHOOSE(CONTROL!$C$28, 0.0311, 0)</f>
        <v>30.732599999999998</v>
      </c>
      <c r="D321" s="4">
        <f>38.9025 * CHOOSE(CONTROL!$C$9, $C$13, 100%, $E$13) + CHOOSE(CONTROL!$C$28, 0, 0)</f>
        <v>38.902500000000003</v>
      </c>
      <c r="E321" s="4">
        <f>193.084049914704 * CHOOSE(CONTROL!$C$9, $C$13, 100%, $E$13) + CHOOSE(CONTROL!$C$28, 0, 0)</f>
        <v>193.084049914704</v>
      </c>
    </row>
    <row r="322" spans="1:5" ht="15">
      <c r="A322" s="13">
        <v>51317</v>
      </c>
      <c r="B322" s="4">
        <f>31.1606 * CHOOSE(CONTROL!$C$9, $C$13, 100%, $E$13) + CHOOSE(CONTROL!$C$28, 0.0311, 0)</f>
        <v>31.191699999999997</v>
      </c>
      <c r="C322" s="4">
        <f>30.7973 * CHOOSE(CONTROL!$C$9, $C$13, 100%, $E$13) + CHOOSE(CONTROL!$C$28, 0.0311, 0)</f>
        <v>30.828399999999998</v>
      </c>
      <c r="D322" s="4">
        <f>39.2445 * CHOOSE(CONTROL!$C$9, $C$13, 100%, $E$13) + CHOOSE(CONTROL!$C$28, 0, 0)</f>
        <v>39.244500000000002</v>
      </c>
      <c r="E322" s="4">
        <f>193.694994155175 * CHOOSE(CONTROL!$C$9, $C$13, 100%, $E$13) + CHOOSE(CONTROL!$C$28, 0, 0)</f>
        <v>193.69499415517501</v>
      </c>
    </row>
    <row r="323" spans="1:5" ht="15">
      <c r="A323" s="13">
        <v>51348</v>
      </c>
      <c r="B323" s="4">
        <f>31.1509 * CHOOSE(CONTROL!$C$9, $C$13, 100%, $E$13) + CHOOSE(CONTROL!$C$28, 0.0311, 0)</f>
        <v>31.181999999999999</v>
      </c>
      <c r="C323" s="4">
        <f>30.7876 * CHOOSE(CONTROL!$C$9, $C$13, 100%, $E$13) + CHOOSE(CONTROL!$C$28, 0.0311, 0)</f>
        <v>30.8187</v>
      </c>
      <c r="D323" s="4">
        <f>39.8615 * CHOOSE(CONTROL!$C$9, $C$13, 100%, $E$13) + CHOOSE(CONTROL!$C$28, 0, 0)</f>
        <v>39.861499999999999</v>
      </c>
      <c r="E323" s="4">
        <f>193.633386332606 * CHOOSE(CONTROL!$C$9, $C$13, 100%, $E$13) + CHOOSE(CONTROL!$C$28, 0, 0)</f>
        <v>193.63338633260599</v>
      </c>
    </row>
    <row r="324" spans="1:5" ht="15">
      <c r="A324" s="13">
        <v>51379</v>
      </c>
      <c r="B324" s="4">
        <f>31.8782 * CHOOSE(CONTROL!$C$9, $C$13, 100%, $E$13) + CHOOSE(CONTROL!$C$28, 0.0311, 0)</f>
        <v>31.909299999999998</v>
      </c>
      <c r="C324" s="4">
        <f>31.5149 * CHOOSE(CONTROL!$C$9, $C$13, 100%, $E$13) + CHOOSE(CONTROL!$C$28, 0.0311, 0)</f>
        <v>31.545999999999999</v>
      </c>
      <c r="D324" s="4">
        <f>39.454 * CHOOSE(CONTROL!$C$9, $C$13, 100%, $E$13) + CHOOSE(CONTROL!$C$28, 0, 0)</f>
        <v>39.454000000000001</v>
      </c>
      <c r="E324" s="4">
        <f>198.269374980881 * CHOOSE(CONTROL!$C$9, $C$13, 100%, $E$13) + CHOOSE(CONTROL!$C$28, 0, 0)</f>
        <v>198.269374980881</v>
      </c>
    </row>
    <row r="325" spans="1:5" ht="15">
      <c r="A325" s="13">
        <v>51409</v>
      </c>
      <c r="B325" s="4">
        <f>30.6387 * CHOOSE(CONTROL!$C$9, $C$13, 100%, $E$13) + CHOOSE(CONTROL!$C$28, 0.0311, 0)</f>
        <v>30.669799999999999</v>
      </c>
      <c r="C325" s="4">
        <f>30.2754 * CHOOSE(CONTROL!$C$9, $C$13, 100%, $E$13) + CHOOSE(CONTROL!$C$28, 0.0311, 0)</f>
        <v>30.3065</v>
      </c>
      <c r="D325" s="4">
        <f>39.2615 * CHOOSE(CONTROL!$C$9, $C$13, 100%, $E$13) + CHOOSE(CONTROL!$C$28, 0, 0)</f>
        <v>39.261499999999998</v>
      </c>
      <c r="E325" s="4">
        <f>190.368171736479 * CHOOSE(CONTROL!$C$9, $C$13, 100%, $E$13) + CHOOSE(CONTROL!$C$28, 0, 0)</f>
        <v>190.36817173647901</v>
      </c>
    </row>
    <row r="326" spans="1:5" ht="15">
      <c r="A326" s="13">
        <v>51440</v>
      </c>
      <c r="B326" s="4">
        <f>29.6464 * CHOOSE(CONTROL!$C$9, $C$13, 100%, $E$13) + CHOOSE(CONTROL!$C$28, 0.0003, 0)</f>
        <v>29.646699999999999</v>
      </c>
      <c r="C326" s="4">
        <f>29.2831 * CHOOSE(CONTROL!$C$9, $C$13, 100%, $E$13) + CHOOSE(CONTROL!$C$28, 0.0003, 0)</f>
        <v>29.2834</v>
      </c>
      <c r="D326" s="4">
        <f>38.746 * CHOOSE(CONTROL!$C$9, $C$13, 100%, $E$13) + CHOOSE(CONTROL!$C$28, 0, 0)</f>
        <v>38.746000000000002</v>
      </c>
      <c r="E326" s="4">
        <f>184.043101952786 * CHOOSE(CONTROL!$C$9, $C$13, 100%, $E$13) + CHOOSE(CONTROL!$C$28, 0, 0)</f>
        <v>184.043101952786</v>
      </c>
    </row>
    <row r="327" spans="1:5" ht="15">
      <c r="A327" s="13">
        <v>51470</v>
      </c>
      <c r="B327" s="4">
        <f>29.0073 * CHOOSE(CONTROL!$C$9, $C$13, 100%, $E$13) + CHOOSE(CONTROL!$C$28, 0.0003, 0)</f>
        <v>29.0076</v>
      </c>
      <c r="C327" s="4">
        <f>28.644 * CHOOSE(CONTROL!$C$9, $C$13, 100%, $E$13) + CHOOSE(CONTROL!$C$28, 0.0003, 0)</f>
        <v>28.644299999999998</v>
      </c>
      <c r="D327" s="4">
        <f>38.5688 * CHOOSE(CONTROL!$C$9, $C$13, 100%, $E$13) + CHOOSE(CONTROL!$C$28, 0, 0)</f>
        <v>38.568800000000003</v>
      </c>
      <c r="E327" s="4">
        <f>179.969284685448 * CHOOSE(CONTROL!$C$9, $C$13, 100%, $E$13) + CHOOSE(CONTROL!$C$28, 0, 0)</f>
        <v>179.969284685448</v>
      </c>
    </row>
    <row r="328" spans="1:5" ht="15">
      <c r="A328" s="13">
        <v>51501</v>
      </c>
      <c r="B328" s="4">
        <f>28.5651 * CHOOSE(CONTROL!$C$9, $C$13, 100%, $E$13) + CHOOSE(CONTROL!$C$28, 0.0003, 0)</f>
        <v>28.5654</v>
      </c>
      <c r="C328" s="4">
        <f>28.2018 * CHOOSE(CONTROL!$C$9, $C$13, 100%, $E$13) + CHOOSE(CONTROL!$C$28, 0.0003, 0)</f>
        <v>28.202099999999998</v>
      </c>
      <c r="D328" s="4">
        <f>37.2641 * CHOOSE(CONTROL!$C$9, $C$13, 100%, $E$13) + CHOOSE(CONTROL!$C$28, 0, 0)</f>
        <v>37.264099999999999</v>
      </c>
      <c r="E328" s="4">
        <f>177.150726802942 * CHOOSE(CONTROL!$C$9, $C$13, 100%, $E$13) + CHOOSE(CONTROL!$C$28, 0, 0)</f>
        <v>177.15072680294199</v>
      </c>
    </row>
    <row r="329" spans="1:5" ht="15">
      <c r="A329" s="13">
        <v>51532</v>
      </c>
      <c r="B329" s="4">
        <f>27.8466 * CHOOSE(CONTROL!$C$9, $C$13, 100%, $E$13) + CHOOSE(CONTROL!$C$28, 0.0003, 0)</f>
        <v>27.846899999999998</v>
      </c>
      <c r="C329" s="4">
        <f>27.4834 * CHOOSE(CONTROL!$C$9, $C$13, 100%, $E$13) + CHOOSE(CONTROL!$C$28, 0.0003, 0)</f>
        <v>27.483699999999999</v>
      </c>
      <c r="D329" s="4">
        <f>36.065 * CHOOSE(CONTROL!$C$9, $C$13, 100%, $E$13) + CHOOSE(CONTROL!$C$28, 0, 0)</f>
        <v>36.064999999999998</v>
      </c>
      <c r="E329" s="4">
        <f>172.070719025949 * CHOOSE(CONTROL!$C$9, $C$13, 100%, $E$13) + CHOOSE(CONTROL!$C$28, 0, 0)</f>
        <v>172.07071902594899</v>
      </c>
    </row>
    <row r="330" spans="1:5" ht="15">
      <c r="A330" s="13">
        <v>51560</v>
      </c>
      <c r="B330" s="4">
        <f>28.4895 * CHOOSE(CONTROL!$C$9, $C$13, 100%, $E$13) + CHOOSE(CONTROL!$C$28, 0.0003, 0)</f>
        <v>28.489799999999999</v>
      </c>
      <c r="C330" s="4">
        <f>28.1262 * CHOOSE(CONTROL!$C$9, $C$13, 100%, $E$13) + CHOOSE(CONTROL!$C$28, 0.0003, 0)</f>
        <v>28.1265</v>
      </c>
      <c r="D330" s="4">
        <f>37.2725 * CHOOSE(CONTROL!$C$9, $C$13, 100%, $E$13) + CHOOSE(CONTROL!$C$28, 0, 0)</f>
        <v>37.272500000000001</v>
      </c>
      <c r="E330" s="4">
        <f>176.156356010746 * CHOOSE(CONTROL!$C$9, $C$13, 100%, $E$13) + CHOOSE(CONTROL!$C$28, 0, 0)</f>
        <v>176.15635601074601</v>
      </c>
    </row>
    <row r="331" spans="1:5" ht="15">
      <c r="A331" s="13">
        <v>51591</v>
      </c>
      <c r="B331" s="4">
        <f>30.1776 * CHOOSE(CONTROL!$C$9, $C$13, 100%, $E$13) + CHOOSE(CONTROL!$C$28, 0.0003, 0)</f>
        <v>30.177900000000001</v>
      </c>
      <c r="C331" s="4">
        <f>29.8143 * CHOOSE(CONTROL!$C$9, $C$13, 100%, $E$13) + CHOOSE(CONTROL!$C$28, 0.0003, 0)</f>
        <v>29.814599999999999</v>
      </c>
      <c r="D331" s="4">
        <f>39.1628 * CHOOSE(CONTROL!$C$9, $C$13, 100%, $E$13) + CHOOSE(CONTROL!$C$28, 0, 0)</f>
        <v>39.162799999999997</v>
      </c>
      <c r="E331" s="4">
        <f>186.885455856759 * CHOOSE(CONTROL!$C$9, $C$13, 100%, $E$13) + CHOOSE(CONTROL!$C$28, 0, 0)</f>
        <v>186.88545585675899</v>
      </c>
    </row>
    <row r="332" spans="1:5" ht="15">
      <c r="A332" s="13">
        <v>51621</v>
      </c>
      <c r="B332" s="4">
        <f>31.377 * CHOOSE(CONTROL!$C$9, $C$13, 100%, $E$13) + CHOOSE(CONTROL!$C$28, 0.0003, 0)</f>
        <v>31.377299999999998</v>
      </c>
      <c r="C332" s="4">
        <f>31.0137 * CHOOSE(CONTROL!$C$9, $C$13, 100%, $E$13) + CHOOSE(CONTROL!$C$28, 0.0003, 0)</f>
        <v>31.013999999999999</v>
      </c>
      <c r="D332" s="4">
        <f>40.2517 * CHOOSE(CONTROL!$C$9, $C$13, 100%, $E$13) + CHOOSE(CONTROL!$C$28, 0, 0)</f>
        <v>40.2517</v>
      </c>
      <c r="E332" s="4">
        <f>194.508624281406 * CHOOSE(CONTROL!$C$9, $C$13, 100%, $E$13) + CHOOSE(CONTROL!$C$28, 0, 0)</f>
        <v>194.50862428140599</v>
      </c>
    </row>
    <row r="333" spans="1:5" ht="15">
      <c r="A333" s="13">
        <v>51652</v>
      </c>
      <c r="B333" s="4">
        <f>32.1098 * CHOOSE(CONTROL!$C$9, $C$13, 100%, $E$13) + CHOOSE(CONTROL!$C$28, 0.0311, 0)</f>
        <v>32.140900000000002</v>
      </c>
      <c r="C333" s="4">
        <f>31.7465 * CHOOSE(CONTROL!$C$9, $C$13, 100%, $E$13) + CHOOSE(CONTROL!$C$28, 0.0311, 0)</f>
        <v>31.7776</v>
      </c>
      <c r="D333" s="4">
        <f>39.8214 * CHOOSE(CONTROL!$C$9, $C$13, 100%, $E$13) + CHOOSE(CONTROL!$C$28, 0, 0)</f>
        <v>39.821399999999997</v>
      </c>
      <c r="E333" s="4">
        <f>199.166197487018 * CHOOSE(CONTROL!$C$9, $C$13, 100%, $E$13) + CHOOSE(CONTROL!$C$28, 0, 0)</f>
        <v>199.166197487018</v>
      </c>
    </row>
    <row r="334" spans="1:5" ht="15">
      <c r="A334" s="13">
        <v>51682</v>
      </c>
      <c r="B334" s="4">
        <f>32.2089 * CHOOSE(CONTROL!$C$9, $C$13, 100%, $E$13) + CHOOSE(CONTROL!$C$28, 0.0311, 0)</f>
        <v>32.24</v>
      </c>
      <c r="C334" s="4">
        <f>31.8457 * CHOOSE(CONTROL!$C$9, $C$13, 100%, $E$13) + CHOOSE(CONTROL!$C$28, 0.0311, 0)</f>
        <v>31.876799999999999</v>
      </c>
      <c r="D334" s="4">
        <f>40.1718 * CHOOSE(CONTROL!$C$9, $C$13, 100%, $E$13) + CHOOSE(CONTROL!$C$28, 0, 0)</f>
        <v>40.171799999999998</v>
      </c>
      <c r="E334" s="4">
        <f>199.796386471063 * CHOOSE(CONTROL!$C$9, $C$13, 100%, $E$13) + CHOOSE(CONTROL!$C$28, 0, 0)</f>
        <v>199.79638647106299</v>
      </c>
    </row>
    <row r="335" spans="1:5" ht="15">
      <c r="A335" s="13">
        <v>51713</v>
      </c>
      <c r="B335" s="4">
        <f>32.1989 * CHOOSE(CONTROL!$C$9, $C$13, 100%, $E$13) + CHOOSE(CONTROL!$C$28, 0.0311, 0)</f>
        <v>32.230000000000004</v>
      </c>
      <c r="C335" s="4">
        <f>31.8357 * CHOOSE(CONTROL!$C$9, $C$13, 100%, $E$13) + CHOOSE(CONTROL!$C$28, 0.0311, 0)</f>
        <v>31.866799999999998</v>
      </c>
      <c r="D335" s="4">
        <f>40.8041 * CHOOSE(CONTROL!$C$9, $C$13, 100%, $E$13) + CHOOSE(CONTROL!$C$28, 0, 0)</f>
        <v>40.804099999999998</v>
      </c>
      <c r="E335" s="4">
        <f>199.732838002083 * CHOOSE(CONTROL!$C$9, $C$13, 100%, $E$13) + CHOOSE(CONTROL!$C$28, 0, 0)</f>
        <v>199.73283800208301</v>
      </c>
    </row>
    <row r="336" spans="1:5" ht="15">
      <c r="A336" s="13">
        <v>51744</v>
      </c>
      <c r="B336" s="4">
        <f>32.9513 * CHOOSE(CONTROL!$C$9, $C$13, 100%, $E$13) + CHOOSE(CONTROL!$C$28, 0.0311, 0)</f>
        <v>32.982400000000005</v>
      </c>
      <c r="C336" s="4">
        <f>32.5881 * CHOOSE(CONTROL!$C$9, $C$13, 100%, $E$13) + CHOOSE(CONTROL!$C$28, 0.0311, 0)</f>
        <v>32.619199999999999</v>
      </c>
      <c r="D336" s="4">
        <f>40.3865 * CHOOSE(CONTROL!$C$9, $C$13, 100%, $E$13) + CHOOSE(CONTROL!$C$28, 0, 0)</f>
        <v>40.386499999999998</v>
      </c>
      <c r="E336" s="4">
        <f>204.514860292779 * CHOOSE(CONTROL!$C$9, $C$13, 100%, $E$13) + CHOOSE(CONTROL!$C$28, 0, 0)</f>
        <v>204.51486029277899</v>
      </c>
    </row>
    <row r="337" spans="1:5" ht="15">
      <c r="A337" s="13">
        <v>51774</v>
      </c>
      <c r="B337" s="4">
        <f>31.669 * CHOOSE(CONTROL!$C$9, $C$13, 100%, $E$13) + CHOOSE(CONTROL!$C$28, 0.0311, 0)</f>
        <v>31.700099999999999</v>
      </c>
      <c r="C337" s="4">
        <f>31.3057 * CHOOSE(CONTROL!$C$9, $C$13, 100%, $E$13) + CHOOSE(CONTROL!$C$28, 0.0311, 0)</f>
        <v>31.3368</v>
      </c>
      <c r="D337" s="4">
        <f>40.1893 * CHOOSE(CONTROL!$C$9, $C$13, 100%, $E$13) + CHOOSE(CONTROL!$C$28, 0, 0)</f>
        <v>40.189300000000003</v>
      </c>
      <c r="E337" s="4">
        <f>196.364769146178 * CHOOSE(CONTROL!$C$9, $C$13, 100%, $E$13) + CHOOSE(CONTROL!$C$28, 0, 0)</f>
        <v>196.36476914617799</v>
      </c>
    </row>
    <row r="338" spans="1:5" ht="15">
      <c r="A338" s="13">
        <v>51805</v>
      </c>
      <c r="B338" s="4">
        <f>30.6425 * CHOOSE(CONTROL!$C$9, $C$13, 100%, $E$13) + CHOOSE(CONTROL!$C$28, 0.0003, 0)</f>
        <v>30.642799999999998</v>
      </c>
      <c r="C338" s="4">
        <f>30.2792 * CHOOSE(CONTROL!$C$9, $C$13, 100%, $E$13) + CHOOSE(CONTROL!$C$28, 0.0003, 0)</f>
        <v>30.279499999999999</v>
      </c>
      <c r="D338" s="4">
        <f>39.661 * CHOOSE(CONTROL!$C$9, $C$13, 100%, $E$13) + CHOOSE(CONTROL!$C$28, 0, 0)</f>
        <v>39.661000000000001</v>
      </c>
      <c r="E338" s="4">
        <f>189.840459664299 * CHOOSE(CONTROL!$C$9, $C$13, 100%, $E$13) + CHOOSE(CONTROL!$C$28, 0, 0)</f>
        <v>189.840459664299</v>
      </c>
    </row>
    <row r="339" spans="1:5" ht="15">
      <c r="A339" s="13">
        <v>51835</v>
      </c>
      <c r="B339" s="4">
        <f>29.9813 * CHOOSE(CONTROL!$C$9, $C$13, 100%, $E$13) + CHOOSE(CONTROL!$C$28, 0.0003, 0)</f>
        <v>29.9816</v>
      </c>
      <c r="C339" s="4">
        <f>29.6181 * CHOOSE(CONTROL!$C$9, $C$13, 100%, $E$13) + CHOOSE(CONTROL!$C$28, 0.0003, 0)</f>
        <v>29.618399999999998</v>
      </c>
      <c r="D339" s="4">
        <f>39.4794 * CHOOSE(CONTROL!$C$9, $C$13, 100%, $E$13) + CHOOSE(CONTROL!$C$28, 0, 0)</f>
        <v>39.479399999999998</v>
      </c>
      <c r="E339" s="4">
        <f>185.638317153039 * CHOOSE(CONTROL!$C$9, $C$13, 100%, $E$13) + CHOOSE(CONTROL!$C$28, 0, 0)</f>
        <v>185.638317153039</v>
      </c>
    </row>
    <row r="340" spans="1:5" ht="15">
      <c r="A340" s="13">
        <v>51866</v>
      </c>
      <c r="B340" s="4">
        <f>29.5239 * CHOOSE(CONTROL!$C$9, $C$13, 100%, $E$13) + CHOOSE(CONTROL!$C$28, 0.0003, 0)</f>
        <v>29.5242</v>
      </c>
      <c r="C340" s="4">
        <f>29.1606 * CHOOSE(CONTROL!$C$9, $C$13, 100%, $E$13) + CHOOSE(CONTROL!$C$28, 0.0003, 0)</f>
        <v>29.160899999999998</v>
      </c>
      <c r="D340" s="4">
        <f>38.1424 * CHOOSE(CONTROL!$C$9, $C$13, 100%, $E$13) + CHOOSE(CONTROL!$C$28, 0, 0)</f>
        <v>38.142400000000002</v>
      </c>
      <c r="E340" s="4">
        <f>182.730974697234 * CHOOSE(CONTROL!$C$9, $C$13, 100%, $E$13) + CHOOSE(CONTROL!$C$28, 0, 0)</f>
        <v>182.73097469723399</v>
      </c>
    </row>
    <row r="341" spans="1:5" ht="15">
      <c r="A341" s="13">
        <v>51897</v>
      </c>
      <c r="B341" s="4">
        <f>28.7807 * CHOOSE(CONTROL!$C$9, $C$13, 100%, $E$13) + CHOOSE(CONTROL!$C$28, 0.0003, 0)</f>
        <v>28.780999999999999</v>
      </c>
      <c r="C341" s="4">
        <f>28.4174 * CHOOSE(CONTROL!$C$9, $C$13, 100%, $E$13) + CHOOSE(CONTROL!$C$28, 0.0003, 0)</f>
        <v>28.4177</v>
      </c>
      <c r="D341" s="4">
        <f>36.9135 * CHOOSE(CONTROL!$C$9, $C$13, 100%, $E$13) + CHOOSE(CONTROL!$C$28, 0, 0)</f>
        <v>36.913499999999999</v>
      </c>
      <c r="E341" s="4">
        <f>177.490946675266 * CHOOSE(CONTROL!$C$9, $C$13, 100%, $E$13) + CHOOSE(CONTROL!$C$28, 0, 0)</f>
        <v>177.490946675266</v>
      </c>
    </row>
    <row r="342" spans="1:5" ht="15">
      <c r="A342" s="13">
        <v>51925</v>
      </c>
      <c r="B342" s="4">
        <f>29.4457 * CHOOSE(CONTROL!$C$9, $C$13, 100%, $E$13) + CHOOSE(CONTROL!$C$28, 0.0003, 0)</f>
        <v>29.445999999999998</v>
      </c>
      <c r="C342" s="4">
        <f>29.0824 * CHOOSE(CONTROL!$C$9, $C$13, 100%, $E$13) + CHOOSE(CONTROL!$C$28, 0.0003, 0)</f>
        <v>29.082699999999999</v>
      </c>
      <c r="D342" s="4">
        <f>38.151 * CHOOSE(CONTROL!$C$9, $C$13, 100%, $E$13) + CHOOSE(CONTROL!$C$28, 0, 0)</f>
        <v>38.151000000000003</v>
      </c>
      <c r="E342" s="4">
        <f>181.705281225085 * CHOOSE(CONTROL!$C$9, $C$13, 100%, $E$13) + CHOOSE(CONTROL!$C$28, 0, 0)</f>
        <v>181.705281225085</v>
      </c>
    </row>
    <row r="343" spans="1:5" ht="15">
      <c r="A343" s="13">
        <v>51956</v>
      </c>
      <c r="B343" s="4">
        <f>31.192 * CHOOSE(CONTROL!$C$9, $C$13, 100%, $E$13) + CHOOSE(CONTROL!$C$28, 0.0003, 0)</f>
        <v>31.192299999999999</v>
      </c>
      <c r="C343" s="4">
        <f>30.8287 * CHOOSE(CONTROL!$C$9, $C$13, 100%, $E$13) + CHOOSE(CONTROL!$C$28, 0.0003, 0)</f>
        <v>30.829000000000001</v>
      </c>
      <c r="D343" s="4">
        <f>40.0881 * CHOOSE(CONTROL!$C$9, $C$13, 100%, $E$13) + CHOOSE(CONTROL!$C$28, 0, 0)</f>
        <v>40.088099999999997</v>
      </c>
      <c r="E343" s="4">
        <f>192.772347716247 * CHOOSE(CONTROL!$C$9, $C$13, 100%, $E$13) + CHOOSE(CONTROL!$C$28, 0, 0)</f>
        <v>192.772347716247</v>
      </c>
    </row>
    <row r="344" spans="1:5" ht="15">
      <c r="A344" s="13">
        <v>51986</v>
      </c>
      <c r="B344" s="4">
        <f>32.4328 * CHOOSE(CONTROL!$C$9, $C$13, 100%, $E$13) + CHOOSE(CONTROL!$C$28, 0.0003, 0)</f>
        <v>32.433100000000003</v>
      </c>
      <c r="C344" s="4">
        <f>32.0695 * CHOOSE(CONTROL!$C$9, $C$13, 100%, $E$13) + CHOOSE(CONTROL!$C$28, 0.0003, 0)</f>
        <v>32.069800000000001</v>
      </c>
      <c r="D344" s="4">
        <f>41.204 * CHOOSE(CONTROL!$C$9, $C$13, 100%, $E$13) + CHOOSE(CONTROL!$C$28, 0, 0)</f>
        <v>41.204000000000001</v>
      </c>
      <c r="E344" s="4">
        <f>200.635645946271 * CHOOSE(CONTROL!$C$9, $C$13, 100%, $E$13) + CHOOSE(CONTROL!$C$28, 0, 0)</f>
        <v>200.63564594627101</v>
      </c>
    </row>
    <row r="345" spans="1:5" ht="15">
      <c r="A345" s="13">
        <v>52017</v>
      </c>
      <c r="B345" s="4">
        <f>33.1909 * CHOOSE(CONTROL!$C$9, $C$13, 100%, $E$13) + CHOOSE(CONTROL!$C$28, 0.0311, 0)</f>
        <v>33.222000000000001</v>
      </c>
      <c r="C345" s="4">
        <f>32.8276 * CHOOSE(CONTROL!$C$9, $C$13, 100%, $E$13) + CHOOSE(CONTROL!$C$28, 0.0311, 0)</f>
        <v>32.858699999999999</v>
      </c>
      <c r="D345" s="4">
        <f>40.7631 * CHOOSE(CONTROL!$C$9, $C$13, 100%, $E$13) + CHOOSE(CONTROL!$C$28, 0, 0)</f>
        <v>40.763100000000001</v>
      </c>
      <c r="E345" s="4">
        <f>205.439932707859 * CHOOSE(CONTROL!$C$9, $C$13, 100%, $E$13) + CHOOSE(CONTROL!$C$28, 0, 0)</f>
        <v>205.43993270785899</v>
      </c>
    </row>
    <row r="346" spans="1:5" ht="15">
      <c r="A346" s="13">
        <v>52047</v>
      </c>
      <c r="B346" s="4">
        <f>33.2935 * CHOOSE(CONTROL!$C$9, $C$13, 100%, $E$13) + CHOOSE(CONTROL!$C$28, 0.0311, 0)</f>
        <v>33.324600000000004</v>
      </c>
      <c r="C346" s="4">
        <f>32.9302 * CHOOSE(CONTROL!$C$9, $C$13, 100%, $E$13) + CHOOSE(CONTROL!$C$28, 0.0311, 0)</f>
        <v>32.961300000000001</v>
      </c>
      <c r="D346" s="4">
        <f>41.1222 * CHOOSE(CONTROL!$C$9, $C$13, 100%, $E$13) + CHOOSE(CONTROL!$C$28, 0, 0)</f>
        <v>41.122199999999999</v>
      </c>
      <c r="E346" s="4">
        <f>206.089972644901 * CHOOSE(CONTROL!$C$9, $C$13, 100%, $E$13) + CHOOSE(CONTROL!$C$28, 0, 0)</f>
        <v>206.089972644901</v>
      </c>
    </row>
    <row r="347" spans="1:5" ht="15">
      <c r="A347" s="13">
        <v>52078</v>
      </c>
      <c r="B347" s="4">
        <f>33.2831 * CHOOSE(CONTROL!$C$9, $C$13, 100%, $E$13) + CHOOSE(CONTROL!$C$28, 0.0311, 0)</f>
        <v>33.3142</v>
      </c>
      <c r="C347" s="4">
        <f>32.9198 * CHOOSE(CONTROL!$C$9, $C$13, 100%, $E$13) + CHOOSE(CONTROL!$C$28, 0.0311, 0)</f>
        <v>32.950900000000004</v>
      </c>
      <c r="D347" s="4">
        <f>41.7701 * CHOOSE(CONTROL!$C$9, $C$13, 100%, $E$13) + CHOOSE(CONTROL!$C$28, 0, 0)</f>
        <v>41.770099999999999</v>
      </c>
      <c r="E347" s="4">
        <f>206.024422399149 * CHOOSE(CONTROL!$C$9, $C$13, 100%, $E$13) + CHOOSE(CONTROL!$C$28, 0, 0)</f>
        <v>206.02442239914899</v>
      </c>
    </row>
    <row r="348" spans="1:5" ht="15">
      <c r="A348" s="13">
        <v>52109</v>
      </c>
      <c r="B348" s="4">
        <f>34.0615 * CHOOSE(CONTROL!$C$9, $C$13, 100%, $E$13) + CHOOSE(CONTROL!$C$28, 0.0311, 0)</f>
        <v>34.092600000000004</v>
      </c>
      <c r="C348" s="4">
        <f>33.6982 * CHOOSE(CONTROL!$C$9, $C$13, 100%, $E$13) + CHOOSE(CONTROL!$C$28, 0.0311, 0)</f>
        <v>33.729300000000002</v>
      </c>
      <c r="D348" s="4">
        <f>41.3422 * CHOOSE(CONTROL!$C$9, $C$13, 100%, $E$13) + CHOOSE(CONTROL!$C$28, 0, 0)</f>
        <v>41.342199999999998</v>
      </c>
      <c r="E348" s="4">
        <f>210.957078392002 * CHOOSE(CONTROL!$C$9, $C$13, 100%, $E$13) + CHOOSE(CONTROL!$C$28, 0, 0)</f>
        <v>210.95707839200199</v>
      </c>
    </row>
    <row r="349" spans="1:5" ht="15">
      <c r="A349" s="13">
        <v>52139</v>
      </c>
      <c r="B349" s="4">
        <f>32.7349 * CHOOSE(CONTROL!$C$9, $C$13, 100%, $E$13) + CHOOSE(CONTROL!$C$28, 0.0311, 0)</f>
        <v>32.766000000000005</v>
      </c>
      <c r="C349" s="4">
        <f>32.3716 * CHOOSE(CONTROL!$C$9, $C$13, 100%, $E$13) + CHOOSE(CONTROL!$C$28, 0.0311, 0)</f>
        <v>32.402700000000003</v>
      </c>
      <c r="D349" s="4">
        <f>41.14 * CHOOSE(CONTROL!$C$9, $C$13, 100%, $E$13) + CHOOSE(CONTROL!$C$28, 0, 0)</f>
        <v>41.14</v>
      </c>
      <c r="E349" s="4">
        <f>202.550259374283 * CHOOSE(CONTROL!$C$9, $C$13, 100%, $E$13) + CHOOSE(CONTROL!$C$28, 0, 0)</f>
        <v>202.550259374283</v>
      </c>
    </row>
    <row r="350" spans="1:5" ht="15">
      <c r="A350" s="13">
        <v>52170</v>
      </c>
      <c r="B350" s="4">
        <f>31.673 * CHOOSE(CONTROL!$C$9, $C$13, 100%, $E$13) + CHOOSE(CONTROL!$C$28, 0.0003, 0)</f>
        <v>31.673299999999998</v>
      </c>
      <c r="C350" s="4">
        <f>31.3097 * CHOOSE(CONTROL!$C$9, $C$13, 100%, $E$13) + CHOOSE(CONTROL!$C$28, 0.0003, 0)</f>
        <v>31.31</v>
      </c>
      <c r="D350" s="4">
        <f>40.5987 * CHOOSE(CONTROL!$C$9, $C$13, 100%, $E$13) + CHOOSE(CONTROL!$C$28, 0, 0)</f>
        <v>40.598700000000001</v>
      </c>
      <c r="E350" s="4">
        <f>195.820434143724 * CHOOSE(CONTROL!$C$9, $C$13, 100%, $E$13) + CHOOSE(CONTROL!$C$28, 0, 0)</f>
        <v>195.82043414372399</v>
      </c>
    </row>
    <row r="351" spans="1:5" ht="15">
      <c r="A351" s="13">
        <v>52200</v>
      </c>
      <c r="B351" s="4">
        <f>30.989 * CHOOSE(CONTROL!$C$9, $C$13, 100%, $E$13) + CHOOSE(CONTROL!$C$28, 0.0003, 0)</f>
        <v>30.9893</v>
      </c>
      <c r="C351" s="4">
        <f>30.6257 * CHOOSE(CONTROL!$C$9, $C$13, 100%, $E$13) + CHOOSE(CONTROL!$C$28, 0.0003, 0)</f>
        <v>30.625999999999998</v>
      </c>
      <c r="D351" s="4">
        <f>40.4126 * CHOOSE(CONTROL!$C$9, $C$13, 100%, $E$13) + CHOOSE(CONTROL!$C$28, 0, 0)</f>
        <v>40.412599999999998</v>
      </c>
      <c r="E351" s="4">
        <f>191.48592414336 * CHOOSE(CONTROL!$C$9, $C$13, 100%, $E$13) + CHOOSE(CONTROL!$C$28, 0, 0)</f>
        <v>191.48592414335999</v>
      </c>
    </row>
    <row r="352" spans="1:5" ht="15">
      <c r="A352" s="13">
        <v>52231</v>
      </c>
      <c r="B352" s="4">
        <f>30.5158 * CHOOSE(CONTROL!$C$9, $C$13, 100%, $E$13) + CHOOSE(CONTROL!$C$28, 0.0003, 0)</f>
        <v>30.516099999999998</v>
      </c>
      <c r="C352" s="4">
        <f>30.1525 * CHOOSE(CONTROL!$C$9, $C$13, 100%, $E$13) + CHOOSE(CONTROL!$C$28, 0.0003, 0)</f>
        <v>30.152799999999999</v>
      </c>
      <c r="D352" s="4">
        <f>39.0424 * CHOOSE(CONTROL!$C$9, $C$13, 100%, $E$13) + CHOOSE(CONTROL!$C$28, 0, 0)</f>
        <v>39.042400000000001</v>
      </c>
      <c r="E352" s="4">
        <f>188.487000400197 * CHOOSE(CONTROL!$C$9, $C$13, 100%, $E$13) + CHOOSE(CONTROL!$C$28, 0, 0)</f>
        <v>188.48700040019699</v>
      </c>
    </row>
    <row r="353" spans="1:5" ht="15">
      <c r="A353" s="13">
        <v>52262</v>
      </c>
      <c r="B353" s="4">
        <f>29.7469 * CHOOSE(CONTROL!$C$9, $C$13, 100%, $E$13) + CHOOSE(CONTROL!$C$28, 0.0003, 0)</f>
        <v>29.747199999999999</v>
      </c>
      <c r="C353" s="4">
        <f>29.3836 * CHOOSE(CONTROL!$C$9, $C$13, 100%, $E$13) + CHOOSE(CONTROL!$C$28, 0.0003, 0)</f>
        <v>29.383900000000001</v>
      </c>
      <c r="D353" s="4">
        <f>37.783 * CHOOSE(CONTROL!$C$9, $C$13, 100%, $E$13) + CHOOSE(CONTROL!$C$28, 0, 0)</f>
        <v>37.783000000000001</v>
      </c>
      <c r="E353" s="4">
        <f>183.081911495537 * CHOOSE(CONTROL!$C$9, $C$13, 100%, $E$13) + CHOOSE(CONTROL!$C$28, 0, 0)</f>
        <v>183.08191149553701</v>
      </c>
    </row>
    <row r="354" spans="1:5" ht="15">
      <c r="A354" s="13">
        <v>52290</v>
      </c>
      <c r="B354" s="4">
        <f>30.4349 * CHOOSE(CONTROL!$C$9, $C$13, 100%, $E$13) + CHOOSE(CONTROL!$C$28, 0.0003, 0)</f>
        <v>30.435199999999998</v>
      </c>
      <c r="C354" s="4">
        <f>30.0716 * CHOOSE(CONTROL!$C$9, $C$13, 100%, $E$13) + CHOOSE(CONTROL!$C$28, 0.0003, 0)</f>
        <v>30.071899999999999</v>
      </c>
      <c r="D354" s="4">
        <f>39.0512 * CHOOSE(CONTROL!$C$9, $C$13, 100%, $E$13) + CHOOSE(CONTROL!$C$28, 0, 0)</f>
        <v>39.051200000000001</v>
      </c>
      <c r="E354" s="4">
        <f>187.428997583675 * CHOOSE(CONTROL!$C$9, $C$13, 100%, $E$13) + CHOOSE(CONTROL!$C$28, 0, 0)</f>
        <v>187.428997583675</v>
      </c>
    </row>
    <row r="355" spans="1:5" ht="15">
      <c r="A355" s="13">
        <v>52321</v>
      </c>
      <c r="B355" s="4">
        <f>32.2414 * CHOOSE(CONTROL!$C$9, $C$13, 100%, $E$13) + CHOOSE(CONTROL!$C$28, 0.0003, 0)</f>
        <v>32.241700000000002</v>
      </c>
      <c r="C355" s="4">
        <f>31.8782 * CHOOSE(CONTROL!$C$9, $C$13, 100%, $E$13) + CHOOSE(CONTROL!$C$28, 0.0003, 0)</f>
        <v>31.878499999999999</v>
      </c>
      <c r="D355" s="4">
        <f>41.0364 * CHOOSE(CONTROL!$C$9, $C$13, 100%, $E$13) + CHOOSE(CONTROL!$C$28, 0, 0)</f>
        <v>41.0364</v>
      </c>
      <c r="E355" s="4">
        <f>198.844676669309 * CHOOSE(CONTROL!$C$9, $C$13, 100%, $E$13) + CHOOSE(CONTROL!$C$28, 0, 0)</f>
        <v>198.844676669309</v>
      </c>
    </row>
    <row r="356" spans="1:5" ht="15">
      <c r="A356" s="13">
        <v>52351</v>
      </c>
      <c r="B356" s="4">
        <f>33.525 * CHOOSE(CONTROL!$C$9, $C$13, 100%, $E$13) + CHOOSE(CONTROL!$C$28, 0.0003, 0)</f>
        <v>33.525300000000001</v>
      </c>
      <c r="C356" s="4">
        <f>33.1618 * CHOOSE(CONTROL!$C$9, $C$13, 100%, $E$13) + CHOOSE(CONTROL!$C$28, 0.0003, 0)</f>
        <v>33.162100000000002</v>
      </c>
      <c r="D356" s="4">
        <f>42.1799 * CHOOSE(CONTROL!$C$9, $C$13, 100%, $E$13) + CHOOSE(CONTROL!$C$28, 0, 0)</f>
        <v>42.179900000000004</v>
      </c>
      <c r="E356" s="4">
        <f>206.955668793578 * CHOOSE(CONTROL!$C$9, $C$13, 100%, $E$13) + CHOOSE(CONTROL!$C$28, 0, 0)</f>
        <v>206.95566879357801</v>
      </c>
    </row>
    <row r="357" spans="1:5" ht="15">
      <c r="A357" s="13">
        <v>52382</v>
      </c>
      <c r="B357" s="4">
        <f>34.3093 * CHOOSE(CONTROL!$C$9, $C$13, 100%, $E$13) + CHOOSE(CONTROL!$C$28, 0.0311, 0)</f>
        <v>34.340400000000002</v>
      </c>
      <c r="C357" s="4">
        <f>33.946 * CHOOSE(CONTROL!$C$9, $C$13, 100%, $E$13) + CHOOSE(CONTROL!$C$28, 0.0311, 0)</f>
        <v>33.9771</v>
      </c>
      <c r="D357" s="4">
        <f>41.7281 * CHOOSE(CONTROL!$C$9, $C$13, 100%, $E$13) + CHOOSE(CONTROL!$C$28, 0, 0)</f>
        <v>41.728099999999998</v>
      </c>
      <c r="E357" s="4">
        <f>211.911290588156 * CHOOSE(CONTROL!$C$9, $C$13, 100%, $E$13) + CHOOSE(CONTROL!$C$28, 0, 0)</f>
        <v>211.91129058815599</v>
      </c>
    </row>
    <row r="358" spans="1:5" ht="15">
      <c r="A358" s="13">
        <v>52412</v>
      </c>
      <c r="B358" s="4">
        <f>34.4154 * CHOOSE(CONTROL!$C$9, $C$13, 100%, $E$13) + CHOOSE(CONTROL!$C$28, 0.0311, 0)</f>
        <v>34.4465</v>
      </c>
      <c r="C358" s="4">
        <f>34.0521 * CHOOSE(CONTROL!$C$9, $C$13, 100%, $E$13) + CHOOSE(CONTROL!$C$28, 0.0311, 0)</f>
        <v>34.083200000000005</v>
      </c>
      <c r="D358" s="4">
        <f>42.0961 * CHOOSE(CONTROL!$C$9, $C$13, 100%, $E$13) + CHOOSE(CONTROL!$C$28, 0, 0)</f>
        <v>42.0961</v>
      </c>
      <c r="E358" s="4">
        <f>212.581806783216 * CHOOSE(CONTROL!$C$9, $C$13, 100%, $E$13) + CHOOSE(CONTROL!$C$28, 0, 0)</f>
        <v>212.581806783216</v>
      </c>
    </row>
    <row r="359" spans="1:5" ht="15">
      <c r="A359" s="13">
        <v>52443</v>
      </c>
      <c r="B359" s="4">
        <f>34.4047 * CHOOSE(CONTROL!$C$9, $C$13, 100%, $E$13) + CHOOSE(CONTROL!$C$28, 0.0311, 0)</f>
        <v>34.4358</v>
      </c>
      <c r="C359" s="4">
        <f>34.0414 * CHOOSE(CONTROL!$C$9, $C$13, 100%, $E$13) + CHOOSE(CONTROL!$C$28, 0.0311, 0)</f>
        <v>34.072500000000005</v>
      </c>
      <c r="D359" s="4">
        <f>42.7601 * CHOOSE(CONTROL!$C$9, $C$13, 100%, $E$13) + CHOOSE(CONTROL!$C$28, 0, 0)</f>
        <v>42.760100000000001</v>
      </c>
      <c r="E359" s="4">
        <f>212.514191704722 * CHOOSE(CONTROL!$C$9, $C$13, 100%, $E$13) + CHOOSE(CONTROL!$C$28, 0, 0)</f>
        <v>212.51419170472201</v>
      </c>
    </row>
    <row r="360" spans="1:5" ht="15">
      <c r="A360" s="13">
        <v>52474</v>
      </c>
      <c r="B360" s="4">
        <f>35.2099 * CHOOSE(CONTROL!$C$9, $C$13, 100%, $E$13) + CHOOSE(CONTROL!$C$28, 0.0311, 0)</f>
        <v>35.241</v>
      </c>
      <c r="C360" s="4">
        <f>34.8466 * CHOOSE(CONTROL!$C$9, $C$13, 100%, $E$13) + CHOOSE(CONTROL!$C$28, 0.0311, 0)</f>
        <v>34.877700000000004</v>
      </c>
      <c r="D360" s="4">
        <f>42.3216 * CHOOSE(CONTROL!$C$9, $C$13, 100%, $E$13) + CHOOSE(CONTROL!$C$28, 0, 0)</f>
        <v>42.321599999999997</v>
      </c>
      <c r="E360" s="4">
        <f>217.60222636135 * CHOOSE(CONTROL!$C$9, $C$13, 100%, $E$13) + CHOOSE(CONTROL!$C$28, 0, 0)</f>
        <v>217.60222636135001</v>
      </c>
    </row>
    <row r="361" spans="1:5" ht="15">
      <c r="A361" s="13">
        <v>52504</v>
      </c>
      <c r="B361" s="4">
        <f>33.8376 * CHOOSE(CONTROL!$C$9, $C$13, 100%, $E$13) + CHOOSE(CONTROL!$C$28, 0.0311, 0)</f>
        <v>33.868700000000004</v>
      </c>
      <c r="C361" s="4">
        <f>33.4743 * CHOOSE(CONTROL!$C$9, $C$13, 100%, $E$13) + CHOOSE(CONTROL!$C$28, 0.0311, 0)</f>
        <v>33.505400000000002</v>
      </c>
      <c r="D361" s="4">
        <f>42.1144 * CHOOSE(CONTROL!$C$9, $C$13, 100%, $E$13) + CHOOSE(CONTROL!$C$28, 0, 0)</f>
        <v>42.114400000000003</v>
      </c>
      <c r="E361" s="4">
        <f>208.930592544573 * CHOOSE(CONTROL!$C$9, $C$13, 100%, $E$13) + CHOOSE(CONTROL!$C$28, 0, 0)</f>
        <v>208.93059254457299</v>
      </c>
    </row>
    <row r="362" spans="1:5" ht="15">
      <c r="A362" s="13">
        <v>52535</v>
      </c>
      <c r="B362" s="4">
        <f>32.739 * CHOOSE(CONTROL!$C$9, $C$13, 100%, $E$13) + CHOOSE(CONTROL!$C$28, 0.0003, 0)</f>
        <v>32.7393</v>
      </c>
      <c r="C362" s="4">
        <f>32.3757 * CHOOSE(CONTROL!$C$9, $C$13, 100%, $E$13) + CHOOSE(CONTROL!$C$28, 0.0003, 0)</f>
        <v>32.376000000000005</v>
      </c>
      <c r="D362" s="4">
        <f>41.5596 * CHOOSE(CONTROL!$C$9, $C$13, 100%, $E$13) + CHOOSE(CONTROL!$C$28, 0, 0)</f>
        <v>41.559600000000003</v>
      </c>
      <c r="E362" s="4">
        <f>201.988777819251 * CHOOSE(CONTROL!$C$9, $C$13, 100%, $E$13) + CHOOSE(CONTROL!$C$28, 0, 0)</f>
        <v>201.988777819251</v>
      </c>
    </row>
    <row r="363" spans="1:5" ht="15">
      <c r="A363" s="13">
        <v>52565</v>
      </c>
      <c r="B363" s="4">
        <f>32.0315 * CHOOSE(CONTROL!$C$9, $C$13, 100%, $E$13) + CHOOSE(CONTROL!$C$28, 0.0003, 0)</f>
        <v>32.031800000000004</v>
      </c>
      <c r="C363" s="4">
        <f>31.6682 * CHOOSE(CONTROL!$C$9, $C$13, 100%, $E$13) + CHOOSE(CONTROL!$C$28, 0.0003, 0)</f>
        <v>31.668499999999998</v>
      </c>
      <c r="D363" s="4">
        <f>41.3689 * CHOOSE(CONTROL!$C$9, $C$13, 100%, $E$13) + CHOOSE(CONTROL!$C$28, 0, 0)</f>
        <v>41.368899999999996</v>
      </c>
      <c r="E363" s="4">
        <f>197.517730753876 * CHOOSE(CONTROL!$C$9, $C$13, 100%, $E$13) + CHOOSE(CONTROL!$C$28, 0, 0)</f>
        <v>197.51773075387601</v>
      </c>
    </row>
    <row r="364" spans="1:5" ht="15">
      <c r="A364" s="13">
        <v>52596</v>
      </c>
      <c r="B364" s="4">
        <f>31.5419 * CHOOSE(CONTROL!$C$9, $C$13, 100%, $E$13) + CHOOSE(CONTROL!$C$28, 0.0003, 0)</f>
        <v>31.542199999999998</v>
      </c>
      <c r="C364" s="4">
        <f>31.1786 * CHOOSE(CONTROL!$C$9, $C$13, 100%, $E$13) + CHOOSE(CONTROL!$C$28, 0.0003, 0)</f>
        <v>31.178899999999999</v>
      </c>
      <c r="D364" s="4">
        <f>39.9647 * CHOOSE(CONTROL!$C$9, $C$13, 100%, $E$13) + CHOOSE(CONTROL!$C$28, 0, 0)</f>
        <v>39.964700000000001</v>
      </c>
      <c r="E364" s="4">
        <f>194.424340912803 * CHOOSE(CONTROL!$C$9, $C$13, 100%, $E$13) + CHOOSE(CONTROL!$C$28, 0, 0)</f>
        <v>194.42434091280299</v>
      </c>
    </row>
    <row r="365" spans="1:5" ht="15">
      <c r="A365" s="13">
        <v>52627</v>
      </c>
      <c r="B365" s="4">
        <f>30.7465 * CHOOSE(CONTROL!$C$9, $C$13, 100%, $E$13) + CHOOSE(CONTROL!$C$28, 0.0003, 0)</f>
        <v>30.7468</v>
      </c>
      <c r="C365" s="4">
        <f>30.3832 * CHOOSE(CONTROL!$C$9, $C$13, 100%, $E$13) + CHOOSE(CONTROL!$C$28, 0.0003, 0)</f>
        <v>30.383499999999998</v>
      </c>
      <c r="D365" s="4">
        <f>38.6741 * CHOOSE(CONTROL!$C$9, $C$13, 100%, $E$13) + CHOOSE(CONTROL!$C$28, 0, 0)</f>
        <v>38.674100000000003</v>
      </c>
      <c r="E365" s="4">
        <f>188.848991707647 * CHOOSE(CONTROL!$C$9, $C$13, 100%, $E$13) + CHOOSE(CONTROL!$C$28, 0, 0)</f>
        <v>188.848991707647</v>
      </c>
    </row>
    <row r="366" spans="1:5" ht="15">
      <c r="A366" s="13">
        <v>52655</v>
      </c>
      <c r="B366" s="4">
        <f>31.4582 * CHOOSE(CONTROL!$C$9, $C$13, 100%, $E$13) + CHOOSE(CONTROL!$C$28, 0.0003, 0)</f>
        <v>31.458500000000001</v>
      </c>
      <c r="C366" s="4">
        <f>31.0949 * CHOOSE(CONTROL!$C$9, $C$13, 100%, $E$13) + CHOOSE(CONTROL!$C$28, 0.0003, 0)</f>
        <v>31.095199999999998</v>
      </c>
      <c r="D366" s="4">
        <f>39.9737 * CHOOSE(CONTROL!$C$9, $C$13, 100%, $E$13) + CHOOSE(CONTROL!$C$28, 0, 0)</f>
        <v>39.973700000000001</v>
      </c>
      <c r="E366" s="4">
        <f>193.333011007561 * CHOOSE(CONTROL!$C$9, $C$13, 100%, $E$13) + CHOOSE(CONTROL!$C$28, 0, 0)</f>
        <v>193.333011007561</v>
      </c>
    </row>
    <row r="367" spans="1:5" ht="15">
      <c r="A367" s="13">
        <v>52687</v>
      </c>
      <c r="B367" s="4">
        <f>33.3271 * CHOOSE(CONTROL!$C$9, $C$13, 100%, $E$13) + CHOOSE(CONTROL!$C$28, 0.0003, 0)</f>
        <v>33.327400000000004</v>
      </c>
      <c r="C367" s="4">
        <f>32.9638 * CHOOSE(CONTROL!$C$9, $C$13, 100%, $E$13) + CHOOSE(CONTROL!$C$28, 0.0003, 0)</f>
        <v>32.964100000000002</v>
      </c>
      <c r="D367" s="4">
        <f>42.0082 * CHOOSE(CONTROL!$C$9, $C$13, 100%, $E$13) + CHOOSE(CONTROL!$C$28, 0, 0)</f>
        <v>42.008200000000002</v>
      </c>
      <c r="E367" s="4">
        <f>205.108283984392 * CHOOSE(CONTROL!$C$9, $C$13, 100%, $E$13) + CHOOSE(CONTROL!$C$28, 0, 0)</f>
        <v>205.10828398439199</v>
      </c>
    </row>
    <row r="368" spans="1:5" ht="15">
      <c r="A368" s="13">
        <v>52717</v>
      </c>
      <c r="B368" s="4">
        <f>34.655 * CHOOSE(CONTROL!$C$9, $C$13, 100%, $E$13) + CHOOSE(CONTROL!$C$28, 0.0003, 0)</f>
        <v>34.655300000000004</v>
      </c>
      <c r="C368" s="4">
        <f>34.2917 * CHOOSE(CONTROL!$C$9, $C$13, 100%, $E$13) + CHOOSE(CONTROL!$C$28, 0.0003, 0)</f>
        <v>34.292000000000002</v>
      </c>
      <c r="D368" s="4">
        <f>43.1801 * CHOOSE(CONTROL!$C$9, $C$13, 100%, $E$13) + CHOOSE(CONTROL!$C$28, 0, 0)</f>
        <v>43.180100000000003</v>
      </c>
      <c r="E368" s="4">
        <f>213.474772360576 * CHOOSE(CONTROL!$C$9, $C$13, 100%, $E$13) + CHOOSE(CONTROL!$C$28, 0, 0)</f>
        <v>213.474772360576</v>
      </c>
    </row>
    <row r="369" spans="1:5" ht="15">
      <c r="A369" s="13">
        <v>52748</v>
      </c>
      <c r="B369" s="4">
        <f>35.4663 * CHOOSE(CONTROL!$C$9, $C$13, 100%, $E$13) + CHOOSE(CONTROL!$C$28, 0.0311, 0)</f>
        <v>35.497399999999999</v>
      </c>
      <c r="C369" s="4">
        <f>35.103 * CHOOSE(CONTROL!$C$9, $C$13, 100%, $E$13) + CHOOSE(CONTROL!$C$28, 0.0311, 0)</f>
        <v>35.134100000000004</v>
      </c>
      <c r="D369" s="4">
        <f>42.717 * CHOOSE(CONTROL!$C$9, $C$13, 100%, $E$13) + CHOOSE(CONTROL!$C$28, 0, 0)</f>
        <v>42.716999999999999</v>
      </c>
      <c r="E369" s="4">
        <f>218.586496241683 * CHOOSE(CONTROL!$C$9, $C$13, 100%, $E$13) + CHOOSE(CONTROL!$C$28, 0, 0)</f>
        <v>218.58649624168299</v>
      </c>
    </row>
    <row r="370" spans="1:5" ht="15">
      <c r="A370" s="13">
        <v>52778</v>
      </c>
      <c r="B370" s="4">
        <f>35.5761 * CHOOSE(CONTROL!$C$9, $C$13, 100%, $E$13) + CHOOSE(CONTROL!$C$28, 0.0311, 0)</f>
        <v>35.607199999999999</v>
      </c>
      <c r="C370" s="4">
        <f>35.2128 * CHOOSE(CONTROL!$C$9, $C$13, 100%, $E$13) + CHOOSE(CONTROL!$C$28, 0.0311, 0)</f>
        <v>35.243900000000004</v>
      </c>
      <c r="D370" s="4">
        <f>43.0941 * CHOOSE(CONTROL!$C$9, $C$13, 100%, $E$13) + CHOOSE(CONTROL!$C$28, 0, 0)</f>
        <v>43.094099999999997</v>
      </c>
      <c r="E370" s="4">
        <f>219.278133696887 * CHOOSE(CONTROL!$C$9, $C$13, 100%, $E$13) + CHOOSE(CONTROL!$C$28, 0, 0)</f>
        <v>219.27813369688701</v>
      </c>
    </row>
    <row r="371" spans="1:5" ht="15">
      <c r="A371" s="13">
        <v>52809</v>
      </c>
      <c r="B371" s="4">
        <f>35.565 * CHOOSE(CONTROL!$C$9, $C$13, 100%, $E$13) + CHOOSE(CONTROL!$C$28, 0.0311, 0)</f>
        <v>35.5961</v>
      </c>
      <c r="C371" s="4">
        <f>35.2017 * CHOOSE(CONTROL!$C$9, $C$13, 100%, $E$13) + CHOOSE(CONTROL!$C$28, 0.0311, 0)</f>
        <v>35.232800000000005</v>
      </c>
      <c r="D371" s="4">
        <f>43.7746 * CHOOSE(CONTROL!$C$9, $C$13, 100%, $E$13) + CHOOSE(CONTROL!$C$28, 0, 0)</f>
        <v>43.7746</v>
      </c>
      <c r="E371" s="4">
        <f>219.208388743421 * CHOOSE(CONTROL!$C$9, $C$13, 100%, $E$13) + CHOOSE(CONTROL!$C$28, 0, 0)</f>
        <v>219.20838874342101</v>
      </c>
    </row>
    <row r="372" spans="1:5" ht="15">
      <c r="A372" s="13">
        <v>52840</v>
      </c>
      <c r="B372" s="4">
        <f>36.398 * CHOOSE(CONTROL!$C$9, $C$13, 100%, $E$13) + CHOOSE(CONTROL!$C$28, 0.0311, 0)</f>
        <v>36.429100000000005</v>
      </c>
      <c r="C372" s="4">
        <f>36.0347 * CHOOSE(CONTROL!$C$9, $C$13, 100%, $E$13) + CHOOSE(CONTROL!$C$28, 0.0311, 0)</f>
        <v>36.065800000000003</v>
      </c>
      <c r="D372" s="4">
        <f>43.3252 * CHOOSE(CONTROL!$C$9, $C$13, 100%, $E$13) + CHOOSE(CONTROL!$C$28, 0, 0)</f>
        <v>43.325200000000002</v>
      </c>
      <c r="E372" s="4">
        <f>224.456696491732 * CHOOSE(CONTROL!$C$9, $C$13, 100%, $E$13) + CHOOSE(CONTROL!$C$28, 0, 0)</f>
        <v>224.456696491732</v>
      </c>
    </row>
    <row r="373" spans="1:5" ht="15">
      <c r="A373" s="13">
        <v>52870</v>
      </c>
      <c r="B373" s="4">
        <f>34.9783 * CHOOSE(CONTROL!$C$9, $C$13, 100%, $E$13) + CHOOSE(CONTROL!$C$28, 0.0311, 0)</f>
        <v>35.009399999999999</v>
      </c>
      <c r="C373" s="4">
        <f>34.615 * CHOOSE(CONTROL!$C$9, $C$13, 100%, $E$13) + CHOOSE(CONTROL!$C$28, 0.0311, 0)</f>
        <v>34.646100000000004</v>
      </c>
      <c r="D373" s="4">
        <f>43.1129 * CHOOSE(CONTROL!$C$9, $C$13, 100%, $E$13) + CHOOSE(CONTROL!$C$28, 0, 0)</f>
        <v>43.112900000000003</v>
      </c>
      <c r="E373" s="4">
        <f>215.511906209727 * CHOOSE(CONTROL!$C$9, $C$13, 100%, $E$13) + CHOOSE(CONTROL!$C$28, 0, 0)</f>
        <v>215.51190620972699</v>
      </c>
    </row>
    <row r="374" spans="1:5" ht="15">
      <c r="A374" s="13">
        <v>52901</v>
      </c>
      <c r="B374" s="4">
        <f>33.8418 * CHOOSE(CONTROL!$C$9, $C$13, 100%, $E$13) + CHOOSE(CONTROL!$C$28, 0.0003, 0)</f>
        <v>33.842100000000002</v>
      </c>
      <c r="C374" s="4">
        <f>33.4785 * CHOOSE(CONTROL!$C$9, $C$13, 100%, $E$13) + CHOOSE(CONTROL!$C$28, 0.0003, 0)</f>
        <v>33.4788</v>
      </c>
      <c r="D374" s="4">
        <f>42.5444 * CHOOSE(CONTROL!$C$9, $C$13, 100%, $E$13) + CHOOSE(CONTROL!$C$28, 0, 0)</f>
        <v>42.544400000000003</v>
      </c>
      <c r="E374" s="4">
        <f>208.351424320558 * CHOOSE(CONTROL!$C$9, $C$13, 100%, $E$13) + CHOOSE(CONTROL!$C$28, 0, 0)</f>
        <v>208.35142432055801</v>
      </c>
    </row>
    <row r="375" spans="1:5" ht="15">
      <c r="A375" s="13">
        <v>52931</v>
      </c>
      <c r="B375" s="4">
        <f>33.1099 * CHOOSE(CONTROL!$C$9, $C$13, 100%, $E$13) + CHOOSE(CONTROL!$C$28, 0.0003, 0)</f>
        <v>33.110200000000006</v>
      </c>
      <c r="C375" s="4">
        <f>32.7466 * CHOOSE(CONTROL!$C$9, $C$13, 100%, $E$13) + CHOOSE(CONTROL!$C$28, 0.0003, 0)</f>
        <v>32.746900000000004</v>
      </c>
      <c r="D375" s="4">
        <f>42.3489 * CHOOSE(CONTROL!$C$9, $C$13, 100%, $E$13) + CHOOSE(CONTROL!$C$28, 0, 0)</f>
        <v>42.3489</v>
      </c>
      <c r="E375" s="4">
        <f>203.739539272623 * CHOOSE(CONTROL!$C$9, $C$13, 100%, $E$13) + CHOOSE(CONTROL!$C$28, 0, 0)</f>
        <v>203.73953927262301</v>
      </c>
    </row>
    <row r="376" spans="1:5" ht="15">
      <c r="A376" s="13">
        <v>52962</v>
      </c>
      <c r="B376" s="4">
        <f>32.6034 * CHOOSE(CONTROL!$C$9, $C$13, 100%, $E$13) + CHOOSE(CONTROL!$C$28, 0.0003, 0)</f>
        <v>32.603700000000003</v>
      </c>
      <c r="C376" s="4">
        <f>32.2401 * CHOOSE(CONTROL!$C$9, $C$13, 100%, $E$13) + CHOOSE(CONTROL!$C$28, 0.0003, 0)</f>
        <v>32.240400000000001</v>
      </c>
      <c r="D376" s="4">
        <f>40.9099 * CHOOSE(CONTROL!$C$9, $C$13, 100%, $E$13) + CHOOSE(CONTROL!$C$28, 0, 0)</f>
        <v>40.9099</v>
      </c>
      <c r="E376" s="4">
        <f>200.548707651557 * CHOOSE(CONTROL!$C$9, $C$13, 100%, $E$13) + CHOOSE(CONTROL!$C$28, 0, 0)</f>
        <v>200.54870765155701</v>
      </c>
    </row>
    <row r="377" spans="1:5" ht="15">
      <c r="A377" s="13">
        <v>52993</v>
      </c>
      <c r="B377" s="4">
        <f>31.7806 * CHOOSE(CONTROL!$C$9, $C$13, 100%, $E$13) + CHOOSE(CONTROL!$C$28, 0.0003, 0)</f>
        <v>31.780899999999999</v>
      </c>
      <c r="C377" s="4">
        <f>31.4173 * CHOOSE(CONTROL!$C$9, $C$13, 100%, $E$13) + CHOOSE(CONTROL!$C$28, 0.0003, 0)</f>
        <v>31.4176</v>
      </c>
      <c r="D377" s="4">
        <f>39.5873 * CHOOSE(CONTROL!$C$9, $C$13, 100%, $E$13) + CHOOSE(CONTROL!$C$28, 0, 0)</f>
        <v>39.587299999999999</v>
      </c>
      <c r="E377" s="4">
        <f>194.797734946438 * CHOOSE(CONTROL!$C$9, $C$13, 100%, $E$13) + CHOOSE(CONTROL!$C$28, 0, 0)</f>
        <v>194.797734946438</v>
      </c>
    </row>
    <row r="378" spans="1:5" ht="15">
      <c r="A378" s="13">
        <v>53021</v>
      </c>
      <c r="B378" s="4">
        <f>32.5168 * CHOOSE(CONTROL!$C$9, $C$13, 100%, $E$13) + CHOOSE(CONTROL!$C$28, 0.0003, 0)</f>
        <v>32.517100000000006</v>
      </c>
      <c r="C378" s="4">
        <f>32.1535 * CHOOSE(CONTROL!$C$9, $C$13, 100%, $E$13) + CHOOSE(CONTROL!$C$28, 0.0003, 0)</f>
        <v>32.153800000000004</v>
      </c>
      <c r="D378" s="4">
        <f>40.9192 * CHOOSE(CONTROL!$C$9, $C$13, 100%, $E$13) + CHOOSE(CONTROL!$C$28, 0, 0)</f>
        <v>40.919199999999996</v>
      </c>
      <c r="E378" s="4">
        <f>199.423000854299 * CHOOSE(CONTROL!$C$9, $C$13, 100%, $E$13) + CHOOSE(CONTROL!$C$28, 0, 0)</f>
        <v>199.423000854299</v>
      </c>
    </row>
    <row r="379" spans="1:5" ht="15">
      <c r="A379" s="13">
        <v>53052</v>
      </c>
      <c r="B379" s="4">
        <f>34.4502 * CHOOSE(CONTROL!$C$9, $C$13, 100%, $E$13) + CHOOSE(CONTROL!$C$28, 0.0003, 0)</f>
        <v>34.450500000000005</v>
      </c>
      <c r="C379" s="4">
        <f>34.0869 * CHOOSE(CONTROL!$C$9, $C$13, 100%, $E$13) + CHOOSE(CONTROL!$C$28, 0.0003, 0)</f>
        <v>34.087200000000003</v>
      </c>
      <c r="D379" s="4">
        <f>43.004 * CHOOSE(CONTROL!$C$9, $C$13, 100%, $E$13) + CHOOSE(CONTROL!$C$28, 0, 0)</f>
        <v>43.003999999999998</v>
      </c>
      <c r="E379" s="4">
        <f>211.5691949299 * CHOOSE(CONTROL!$C$9, $C$13, 100%, $E$13) + CHOOSE(CONTROL!$C$28, 0, 0)</f>
        <v>211.56919492989999</v>
      </c>
    </row>
    <row r="380" spans="1:5" ht="15">
      <c r="A380" s="13">
        <v>53082</v>
      </c>
      <c r="B380" s="4">
        <f>35.8239 * CHOOSE(CONTROL!$C$9, $C$13, 100%, $E$13) + CHOOSE(CONTROL!$C$28, 0.0003, 0)</f>
        <v>35.824200000000005</v>
      </c>
      <c r="C380" s="4">
        <f>35.4606 * CHOOSE(CONTROL!$C$9, $C$13, 100%, $E$13) + CHOOSE(CONTROL!$C$28, 0.0003, 0)</f>
        <v>35.460900000000002</v>
      </c>
      <c r="D380" s="4">
        <f>44.205 * CHOOSE(CONTROL!$C$9, $C$13, 100%, $E$13) + CHOOSE(CONTROL!$C$28, 0, 0)</f>
        <v>44.204999999999998</v>
      </c>
      <c r="E380" s="4">
        <f>220.199227689934 * CHOOSE(CONTROL!$C$9, $C$13, 100%, $E$13) + CHOOSE(CONTROL!$C$28, 0, 0)</f>
        <v>220.19922768993399</v>
      </c>
    </row>
    <row r="381" spans="1:5" ht="15">
      <c r="A381" s="13">
        <v>53113</v>
      </c>
      <c r="B381" s="4">
        <f>36.6632 * CHOOSE(CONTROL!$C$9, $C$13, 100%, $E$13) + CHOOSE(CONTROL!$C$28, 0.0311, 0)</f>
        <v>36.694300000000005</v>
      </c>
      <c r="C381" s="4">
        <f>36.2999 * CHOOSE(CONTROL!$C$9, $C$13, 100%, $E$13) + CHOOSE(CONTROL!$C$28, 0.0311, 0)</f>
        <v>36.331000000000003</v>
      </c>
      <c r="D381" s="4">
        <f>43.7304 * CHOOSE(CONTROL!$C$9, $C$13, 100%, $E$13) + CHOOSE(CONTROL!$C$28, 0, 0)</f>
        <v>43.730400000000003</v>
      </c>
      <c r="E381" s="4">
        <f>225.471970873296 * CHOOSE(CONTROL!$C$9, $C$13, 100%, $E$13) + CHOOSE(CONTROL!$C$28, 0, 0)</f>
        <v>225.47197087329599</v>
      </c>
    </row>
    <row r="382" spans="1:5" ht="15">
      <c r="A382" s="13">
        <v>53143</v>
      </c>
      <c r="B382" s="4">
        <f>36.7767 * CHOOSE(CONTROL!$C$9, $C$13, 100%, $E$13) + CHOOSE(CONTROL!$C$28, 0.0311, 0)</f>
        <v>36.8078</v>
      </c>
      <c r="C382" s="4">
        <f>36.4135 * CHOOSE(CONTROL!$C$9, $C$13, 100%, $E$13) + CHOOSE(CONTROL!$C$28, 0.0311, 0)</f>
        <v>36.444600000000001</v>
      </c>
      <c r="D382" s="4">
        <f>44.1169 * CHOOSE(CONTROL!$C$9, $C$13, 100%, $E$13) + CHOOSE(CONTROL!$C$28, 0, 0)</f>
        <v>44.116900000000001</v>
      </c>
      <c r="E382" s="4">
        <f>226.185394908339 * CHOOSE(CONTROL!$C$9, $C$13, 100%, $E$13) + CHOOSE(CONTROL!$C$28, 0, 0)</f>
        <v>226.18539490833899</v>
      </c>
    </row>
    <row r="383" spans="1:5" ht="15">
      <c r="A383" s="13">
        <v>53174</v>
      </c>
      <c r="B383" s="4">
        <f>36.7653 * CHOOSE(CONTROL!$C$9, $C$13, 100%, $E$13) + CHOOSE(CONTROL!$C$28, 0.0311, 0)</f>
        <v>36.796400000000006</v>
      </c>
      <c r="C383" s="4">
        <f>36.402 * CHOOSE(CONTROL!$C$9, $C$13, 100%, $E$13) + CHOOSE(CONTROL!$C$28, 0.0311, 0)</f>
        <v>36.433100000000003</v>
      </c>
      <c r="D383" s="4">
        <f>44.8143 * CHOOSE(CONTROL!$C$9, $C$13, 100%, $E$13) + CHOOSE(CONTROL!$C$28, 0, 0)</f>
        <v>44.814300000000003</v>
      </c>
      <c r="E383" s="4">
        <f>226.113452988839 * CHOOSE(CONTROL!$C$9, $C$13, 100%, $E$13) + CHOOSE(CONTROL!$C$28, 0, 0)</f>
        <v>226.11345298883899</v>
      </c>
    </row>
    <row r="384" spans="1:5" ht="15">
      <c r="A384" s="13">
        <v>53205</v>
      </c>
      <c r="B384" s="4">
        <f>37.627 * CHOOSE(CONTROL!$C$9, $C$13, 100%, $E$13) + CHOOSE(CONTROL!$C$28, 0.0311, 0)</f>
        <v>37.658100000000005</v>
      </c>
      <c r="C384" s="4">
        <f>37.2637 * CHOOSE(CONTROL!$C$9, $C$13, 100%, $E$13) + CHOOSE(CONTROL!$C$28, 0.0311, 0)</f>
        <v>37.294800000000002</v>
      </c>
      <c r="D384" s="4">
        <f>44.3538 * CHOOSE(CONTROL!$C$9, $C$13, 100%, $E$13) + CHOOSE(CONTROL!$C$28, 0, 0)</f>
        <v>44.3538</v>
      </c>
      <c r="E384" s="4">
        <f>231.527082431222 * CHOOSE(CONTROL!$C$9, $C$13, 100%, $E$13) + CHOOSE(CONTROL!$C$28, 0, 0)</f>
        <v>231.527082431222</v>
      </c>
    </row>
    <row r="385" spans="1:5" ht="15">
      <c r="A385" s="13">
        <v>53235</v>
      </c>
      <c r="B385" s="4">
        <f>36.1584 * CHOOSE(CONTROL!$C$9, $C$13, 100%, $E$13) + CHOOSE(CONTROL!$C$28, 0.0311, 0)</f>
        <v>36.189500000000002</v>
      </c>
      <c r="C385" s="4">
        <f>35.7951 * CHOOSE(CONTROL!$C$9, $C$13, 100%, $E$13) + CHOOSE(CONTROL!$C$28, 0.0311, 0)</f>
        <v>35.8262</v>
      </c>
      <c r="D385" s="4">
        <f>44.1362 * CHOOSE(CONTROL!$C$9, $C$13, 100%, $E$13) + CHOOSE(CONTROL!$C$28, 0, 0)</f>
        <v>44.136200000000002</v>
      </c>
      <c r="E385" s="4">
        <f>222.300531255333 * CHOOSE(CONTROL!$C$9, $C$13, 100%, $E$13) + CHOOSE(CONTROL!$C$28, 0, 0)</f>
        <v>222.300531255333</v>
      </c>
    </row>
    <row r="386" spans="1:5" ht="15">
      <c r="A386" s="13">
        <v>53266</v>
      </c>
      <c r="B386" s="4">
        <f>34.9827 * CHOOSE(CONTROL!$C$9, $C$13, 100%, $E$13) + CHOOSE(CONTROL!$C$28, 0.0003, 0)</f>
        <v>34.983000000000004</v>
      </c>
      <c r="C386" s="4">
        <f>34.6194 * CHOOSE(CONTROL!$C$9, $C$13, 100%, $E$13) + CHOOSE(CONTROL!$C$28, 0.0003, 0)</f>
        <v>34.619700000000002</v>
      </c>
      <c r="D386" s="4">
        <f>43.5535 * CHOOSE(CONTROL!$C$9, $C$13, 100%, $E$13) + CHOOSE(CONTROL!$C$28, 0, 0)</f>
        <v>43.5535</v>
      </c>
      <c r="E386" s="4">
        <f>214.914494186655 * CHOOSE(CONTROL!$C$9, $C$13, 100%, $E$13) + CHOOSE(CONTROL!$C$28, 0, 0)</f>
        <v>214.91449418665499</v>
      </c>
    </row>
    <row r="387" spans="1:5" ht="15">
      <c r="A387" s="13">
        <v>53296</v>
      </c>
      <c r="B387" s="4">
        <f>34.2255 * CHOOSE(CONTROL!$C$9, $C$13, 100%, $E$13) + CHOOSE(CONTROL!$C$28, 0.0003, 0)</f>
        <v>34.2258</v>
      </c>
      <c r="C387" s="4">
        <f>33.8622 * CHOOSE(CONTROL!$C$9, $C$13, 100%, $E$13) + CHOOSE(CONTROL!$C$28, 0.0003, 0)</f>
        <v>33.862500000000004</v>
      </c>
      <c r="D387" s="4">
        <f>43.3532 * CHOOSE(CONTROL!$C$9, $C$13, 100%, $E$13) + CHOOSE(CONTROL!$C$28, 0, 0)</f>
        <v>43.353200000000001</v>
      </c>
      <c r="E387" s="4">
        <f>210.157334759711 * CHOOSE(CONTROL!$C$9, $C$13, 100%, $E$13) + CHOOSE(CONTROL!$C$28, 0, 0)</f>
        <v>210.15733475971101</v>
      </c>
    </row>
    <row r="388" spans="1:5" ht="15">
      <c r="A388" s="13">
        <v>53327</v>
      </c>
      <c r="B388" s="4">
        <f>33.7016 * CHOOSE(CONTROL!$C$9, $C$13, 100%, $E$13) + CHOOSE(CONTROL!$C$28, 0.0003, 0)</f>
        <v>33.701900000000002</v>
      </c>
      <c r="C388" s="4">
        <f>33.3383 * CHOOSE(CONTROL!$C$9, $C$13, 100%, $E$13) + CHOOSE(CONTROL!$C$28, 0.0003, 0)</f>
        <v>33.3386</v>
      </c>
      <c r="D388" s="4">
        <f>41.8785 * CHOOSE(CONTROL!$C$9, $C$13, 100%, $E$13) + CHOOSE(CONTROL!$C$28, 0, 0)</f>
        <v>41.878500000000003</v>
      </c>
      <c r="E388" s="4">
        <f>206.865991942581 * CHOOSE(CONTROL!$C$9, $C$13, 100%, $E$13) + CHOOSE(CONTROL!$C$28, 0, 0)</f>
        <v>206.86599194258099</v>
      </c>
    </row>
    <row r="389" spans="1:5" ht="15">
      <c r="A389" s="13">
        <v>53358</v>
      </c>
      <c r="B389" s="4">
        <f>32.8503 * CHOOSE(CONTROL!$C$9, $C$13, 100%, $E$13) + CHOOSE(CONTROL!$C$28, 0.0003, 0)</f>
        <v>32.8506</v>
      </c>
      <c r="C389" s="4">
        <f>32.487 * CHOOSE(CONTROL!$C$9, $C$13, 100%, $E$13) + CHOOSE(CONTROL!$C$28, 0.0003, 0)</f>
        <v>32.487300000000005</v>
      </c>
      <c r="D389" s="4">
        <f>40.5232 * CHOOSE(CONTROL!$C$9, $C$13, 100%, $E$13) + CHOOSE(CONTROL!$C$28, 0, 0)</f>
        <v>40.523200000000003</v>
      </c>
      <c r="E389" s="4">
        <f>200.933863597251 * CHOOSE(CONTROL!$C$9, $C$13, 100%, $E$13) + CHOOSE(CONTROL!$C$28, 0, 0)</f>
        <v>200.93386359725099</v>
      </c>
    </row>
    <row r="390" spans="1:5" ht="15">
      <c r="A390" s="13">
        <v>53386</v>
      </c>
      <c r="B390" s="4">
        <f>33.612 * CHOOSE(CONTROL!$C$9, $C$13, 100%, $E$13) + CHOOSE(CONTROL!$C$28, 0.0003, 0)</f>
        <v>33.612300000000005</v>
      </c>
      <c r="C390" s="4">
        <f>33.2487 * CHOOSE(CONTROL!$C$9, $C$13, 100%, $E$13) + CHOOSE(CONTROL!$C$28, 0.0003, 0)</f>
        <v>33.249000000000002</v>
      </c>
      <c r="D390" s="4">
        <f>41.888 * CHOOSE(CONTROL!$C$9, $C$13, 100%, $E$13) + CHOOSE(CONTROL!$C$28, 0, 0)</f>
        <v>41.887999999999998</v>
      </c>
      <c r="E390" s="4">
        <f>205.704825381209 * CHOOSE(CONTROL!$C$9, $C$13, 100%, $E$13) + CHOOSE(CONTROL!$C$28, 0, 0)</f>
        <v>205.70482538120899</v>
      </c>
    </row>
    <row r="391" spans="1:5" ht="15">
      <c r="A391" s="13">
        <v>53417</v>
      </c>
      <c r="B391" s="4">
        <f>35.612 * CHOOSE(CONTROL!$C$9, $C$13, 100%, $E$13) + CHOOSE(CONTROL!$C$28, 0.0003, 0)</f>
        <v>35.612300000000005</v>
      </c>
      <c r="C391" s="4">
        <f>35.2488 * CHOOSE(CONTROL!$C$9, $C$13, 100%, $E$13) + CHOOSE(CONTROL!$C$28, 0.0003, 0)</f>
        <v>35.249100000000006</v>
      </c>
      <c r="D391" s="4">
        <f>44.0246 * CHOOSE(CONTROL!$C$9, $C$13, 100%, $E$13) + CHOOSE(CONTROL!$C$28, 0, 0)</f>
        <v>44.0246</v>
      </c>
      <c r="E391" s="4">
        <f>218.233624570192 * CHOOSE(CONTROL!$C$9, $C$13, 100%, $E$13) + CHOOSE(CONTROL!$C$28, 0, 0)</f>
        <v>218.23362457019201</v>
      </c>
    </row>
    <row r="392" spans="1:5" ht="15">
      <c r="A392" s="13">
        <v>53447</v>
      </c>
      <c r="B392" s="4">
        <f>37.0331 * CHOOSE(CONTROL!$C$9, $C$13, 100%, $E$13) + CHOOSE(CONTROL!$C$28, 0.0003, 0)</f>
        <v>37.0334</v>
      </c>
      <c r="C392" s="4">
        <f>36.6698 * CHOOSE(CONTROL!$C$9, $C$13, 100%, $E$13) + CHOOSE(CONTROL!$C$28, 0.0003, 0)</f>
        <v>36.670100000000005</v>
      </c>
      <c r="D392" s="4">
        <f>45.2554 * CHOOSE(CONTROL!$C$9, $C$13, 100%, $E$13) + CHOOSE(CONTROL!$C$28, 0, 0)</f>
        <v>45.255400000000002</v>
      </c>
      <c r="E392" s="4">
        <f>227.135503362167 * CHOOSE(CONTROL!$C$9, $C$13, 100%, $E$13) + CHOOSE(CONTROL!$C$28, 0, 0)</f>
        <v>227.13550336216699</v>
      </c>
    </row>
    <row r="393" spans="1:5" ht="15">
      <c r="A393" s="13">
        <v>53478</v>
      </c>
      <c r="B393" s="4">
        <f>37.9014 * CHOOSE(CONTROL!$C$9, $C$13, 100%, $E$13) + CHOOSE(CONTROL!$C$28, 0.0311, 0)</f>
        <v>37.932500000000005</v>
      </c>
      <c r="C393" s="4">
        <f>37.5381 * CHOOSE(CONTROL!$C$9, $C$13, 100%, $E$13) + CHOOSE(CONTROL!$C$28, 0.0311, 0)</f>
        <v>37.569200000000002</v>
      </c>
      <c r="D393" s="4">
        <f>44.769 * CHOOSE(CONTROL!$C$9, $C$13, 100%, $E$13) + CHOOSE(CONTROL!$C$28, 0, 0)</f>
        <v>44.768999999999998</v>
      </c>
      <c r="E393" s="4">
        <f>232.574337955805 * CHOOSE(CONTROL!$C$9, $C$13, 100%, $E$13) + CHOOSE(CONTROL!$C$28, 0, 0)</f>
        <v>232.57433795580499</v>
      </c>
    </row>
    <row r="394" spans="1:5" ht="15">
      <c r="A394" s="13">
        <v>53508</v>
      </c>
      <c r="B394" s="4">
        <f>38.0189 * CHOOSE(CONTROL!$C$9, $C$13, 100%, $E$13) + CHOOSE(CONTROL!$C$28, 0.0311, 0)</f>
        <v>38.050000000000004</v>
      </c>
      <c r="C394" s="4">
        <f>37.6556 * CHOOSE(CONTROL!$C$9, $C$13, 100%, $E$13) + CHOOSE(CONTROL!$C$28, 0.0311, 0)</f>
        <v>37.686700000000002</v>
      </c>
      <c r="D394" s="4">
        <f>45.1651 * CHOOSE(CONTROL!$C$9, $C$13, 100%, $E$13) + CHOOSE(CONTROL!$C$28, 0, 0)</f>
        <v>45.165100000000002</v>
      </c>
      <c r="E394" s="4">
        <f>233.310234847952 * CHOOSE(CONTROL!$C$9, $C$13, 100%, $E$13) + CHOOSE(CONTROL!$C$28, 0, 0)</f>
        <v>233.31023484795199</v>
      </c>
    </row>
    <row r="395" spans="1:5" ht="15">
      <c r="A395" s="13">
        <v>53539</v>
      </c>
      <c r="B395" s="4">
        <f>38.007 * CHOOSE(CONTROL!$C$9, $C$13, 100%, $E$13) + CHOOSE(CONTROL!$C$28, 0.0311, 0)</f>
        <v>38.0381</v>
      </c>
      <c r="C395" s="4">
        <f>37.6437 * CHOOSE(CONTROL!$C$9, $C$13, 100%, $E$13) + CHOOSE(CONTROL!$C$28, 0.0311, 0)</f>
        <v>37.674800000000005</v>
      </c>
      <c r="D395" s="4">
        <f>45.8798 * CHOOSE(CONTROL!$C$9, $C$13, 100%, $E$13) + CHOOSE(CONTROL!$C$28, 0, 0)</f>
        <v>45.879800000000003</v>
      </c>
      <c r="E395" s="4">
        <f>233.236026757987 * CHOOSE(CONTROL!$C$9, $C$13, 100%, $E$13) + CHOOSE(CONTROL!$C$28, 0, 0)</f>
        <v>233.23602675798699</v>
      </c>
    </row>
    <row r="396" spans="1:5" ht="15">
      <c r="A396" s="13">
        <v>53570</v>
      </c>
      <c r="B396" s="4">
        <f>38.8985 * CHOOSE(CONTROL!$C$9, $C$13, 100%, $E$13) + CHOOSE(CONTROL!$C$28, 0.0311, 0)</f>
        <v>38.929600000000001</v>
      </c>
      <c r="C396" s="4">
        <f>38.5352 * CHOOSE(CONTROL!$C$9, $C$13, 100%, $E$13) + CHOOSE(CONTROL!$C$28, 0.0311, 0)</f>
        <v>38.566300000000005</v>
      </c>
      <c r="D396" s="4">
        <f>45.4078 * CHOOSE(CONTROL!$C$9, $C$13, 100%, $E$13) + CHOOSE(CONTROL!$C$28, 0, 0)</f>
        <v>45.407800000000002</v>
      </c>
      <c r="E396" s="4">
        <f>238.820185527805 * CHOOSE(CONTROL!$C$9, $C$13, 100%, $E$13) + CHOOSE(CONTROL!$C$28, 0, 0)</f>
        <v>238.82018552780499</v>
      </c>
    </row>
    <row r="397" spans="1:5" ht="15">
      <c r="A397" s="13">
        <v>53600</v>
      </c>
      <c r="B397" s="4">
        <f>37.3791 * CHOOSE(CONTROL!$C$9, $C$13, 100%, $E$13) + CHOOSE(CONTROL!$C$28, 0.0311, 0)</f>
        <v>37.410200000000003</v>
      </c>
      <c r="C397" s="4">
        <f>37.0159 * CHOOSE(CONTROL!$C$9, $C$13, 100%, $E$13) + CHOOSE(CONTROL!$C$28, 0.0311, 0)</f>
        <v>37.047000000000004</v>
      </c>
      <c r="D397" s="4">
        <f>45.1848 * CHOOSE(CONTROL!$C$9, $C$13, 100%, $E$13) + CHOOSE(CONTROL!$C$28, 0, 0)</f>
        <v>45.184800000000003</v>
      </c>
      <c r="E397" s="4">
        <f>229.302997989876 * CHOOSE(CONTROL!$C$9, $C$13, 100%, $E$13) + CHOOSE(CONTROL!$C$28, 0, 0)</f>
        <v>229.30299798987599</v>
      </c>
    </row>
    <row r="398" spans="1:5" ht="15">
      <c r="A398" s="13">
        <v>53631</v>
      </c>
      <c r="B398" s="4">
        <f>36.1629 * CHOOSE(CONTROL!$C$9, $C$13, 100%, $E$13) + CHOOSE(CONTROL!$C$28, 0.0003, 0)</f>
        <v>36.163200000000003</v>
      </c>
      <c r="C398" s="4">
        <f>35.7996 * CHOOSE(CONTROL!$C$9, $C$13, 100%, $E$13) + CHOOSE(CONTROL!$C$28, 0.0003, 0)</f>
        <v>35.799900000000001</v>
      </c>
      <c r="D398" s="4">
        <f>44.5877 * CHOOSE(CONTROL!$C$9, $C$13, 100%, $E$13) + CHOOSE(CONTROL!$C$28, 0, 0)</f>
        <v>44.587699999999998</v>
      </c>
      <c r="E398" s="4">
        <f>221.684300753535 * CHOOSE(CONTROL!$C$9, $C$13, 100%, $E$13) + CHOOSE(CONTROL!$C$28, 0, 0)</f>
        <v>221.68430075353501</v>
      </c>
    </row>
    <row r="399" spans="1:5" ht="15">
      <c r="A399" s="13">
        <v>53661</v>
      </c>
      <c r="B399" s="4">
        <f>35.3796 * CHOOSE(CONTROL!$C$9, $C$13, 100%, $E$13) + CHOOSE(CONTROL!$C$28, 0.0003, 0)</f>
        <v>35.379900000000006</v>
      </c>
      <c r="C399" s="4">
        <f>35.0163 * CHOOSE(CONTROL!$C$9, $C$13, 100%, $E$13) + CHOOSE(CONTROL!$C$28, 0.0003, 0)</f>
        <v>35.016600000000004</v>
      </c>
      <c r="D399" s="4">
        <f>44.3825 * CHOOSE(CONTROL!$C$9, $C$13, 100%, $E$13) + CHOOSE(CONTROL!$C$28, 0, 0)</f>
        <v>44.3825</v>
      </c>
      <c r="E399" s="4">
        <f>216.777290804642 * CHOOSE(CONTROL!$C$9, $C$13, 100%, $E$13) + CHOOSE(CONTROL!$C$28, 0, 0)</f>
        <v>216.77729080464201</v>
      </c>
    </row>
    <row r="400" spans="1:5" ht="15">
      <c r="A400" s="13">
        <v>53692</v>
      </c>
      <c r="B400" s="4">
        <f>34.8376 * CHOOSE(CONTROL!$C$9, $C$13, 100%, $E$13) + CHOOSE(CONTROL!$C$28, 0.0003, 0)</f>
        <v>34.837900000000005</v>
      </c>
      <c r="C400" s="4">
        <f>34.4743 * CHOOSE(CONTROL!$C$9, $C$13, 100%, $E$13) + CHOOSE(CONTROL!$C$28, 0.0003, 0)</f>
        <v>34.474600000000002</v>
      </c>
      <c r="D400" s="4">
        <f>42.8712 * CHOOSE(CONTROL!$C$9, $C$13, 100%, $E$13) + CHOOSE(CONTROL!$C$28, 0, 0)</f>
        <v>42.871200000000002</v>
      </c>
      <c r="E400" s="4">
        <f>213.382270688772 * CHOOSE(CONTROL!$C$9, $C$13, 100%, $E$13) + CHOOSE(CONTROL!$C$28, 0, 0)</f>
        <v>213.382270688772</v>
      </c>
    </row>
    <row r="401" spans="1:5" ht="15">
      <c r="A401" s="13">
        <v>53723</v>
      </c>
      <c r="B401" s="4">
        <f>33.957 * CHOOSE(CONTROL!$C$9, $C$13, 100%, $E$13) + CHOOSE(CONTROL!$C$28, 0.0003, 0)</f>
        <v>33.957300000000004</v>
      </c>
      <c r="C401" s="4">
        <f>33.5937 * CHOOSE(CONTROL!$C$9, $C$13, 100%, $E$13) + CHOOSE(CONTROL!$C$28, 0.0003, 0)</f>
        <v>33.594000000000001</v>
      </c>
      <c r="D401" s="4">
        <f>41.4822 * CHOOSE(CONTROL!$C$9, $C$13, 100%, $E$13) + CHOOSE(CONTROL!$C$28, 0, 0)</f>
        <v>41.482199999999999</v>
      </c>
      <c r="E401" s="4">
        <f>207.263280300564 * CHOOSE(CONTROL!$C$9, $C$13, 100%, $E$13) + CHOOSE(CONTROL!$C$28, 0, 0)</f>
        <v>207.26328030056399</v>
      </c>
    </row>
    <row r="402" spans="1:5" ht="15">
      <c r="A402" s="13">
        <v>53751</v>
      </c>
      <c r="B402" s="4">
        <f>34.7449 * CHOOSE(CONTROL!$C$9, $C$13, 100%, $E$13) + CHOOSE(CONTROL!$C$28, 0.0003, 0)</f>
        <v>34.745200000000004</v>
      </c>
      <c r="C402" s="4">
        <f>34.3816 * CHOOSE(CONTROL!$C$9, $C$13, 100%, $E$13) + CHOOSE(CONTROL!$C$28, 0.0003, 0)</f>
        <v>34.381900000000002</v>
      </c>
      <c r="D402" s="4">
        <f>42.8809 * CHOOSE(CONTROL!$C$9, $C$13, 100%, $E$13) + CHOOSE(CONTROL!$C$28, 0, 0)</f>
        <v>42.880899999999997</v>
      </c>
      <c r="E402" s="4">
        <f>212.184527380717 * CHOOSE(CONTROL!$C$9, $C$13, 100%, $E$13) + CHOOSE(CONTROL!$C$28, 0, 0)</f>
        <v>212.18452738071699</v>
      </c>
    </row>
    <row r="403" spans="1:5" ht="15">
      <c r="A403" s="13">
        <v>53782</v>
      </c>
      <c r="B403" s="4">
        <f>36.814 * CHOOSE(CONTROL!$C$9, $C$13, 100%, $E$13) + CHOOSE(CONTROL!$C$28, 0.0003, 0)</f>
        <v>36.814300000000003</v>
      </c>
      <c r="C403" s="4">
        <f>36.4507 * CHOOSE(CONTROL!$C$9, $C$13, 100%, $E$13) + CHOOSE(CONTROL!$C$28, 0.0003, 0)</f>
        <v>36.451000000000001</v>
      </c>
      <c r="D403" s="4">
        <f>45.0705 * CHOOSE(CONTROL!$C$9, $C$13, 100%, $E$13) + CHOOSE(CONTROL!$C$28, 0, 0)</f>
        <v>45.070500000000003</v>
      </c>
      <c r="E403" s="4">
        <f>225.107983744153 * CHOOSE(CONTROL!$C$9, $C$13, 100%, $E$13) + CHOOSE(CONTROL!$C$28, 0, 0)</f>
        <v>225.10798374415299</v>
      </c>
    </row>
    <row r="404" spans="1:5" ht="15">
      <c r="A404" s="13">
        <v>53812</v>
      </c>
      <c r="B404" s="4">
        <f>38.2841 * CHOOSE(CONTROL!$C$9, $C$13, 100%, $E$13) + CHOOSE(CONTROL!$C$28, 0.0003, 0)</f>
        <v>38.284400000000005</v>
      </c>
      <c r="C404" s="4">
        <f>37.9208 * CHOOSE(CONTROL!$C$9, $C$13, 100%, $E$13) + CHOOSE(CONTROL!$C$28, 0.0003, 0)</f>
        <v>37.921100000000003</v>
      </c>
      <c r="D404" s="4">
        <f>46.3318 * CHOOSE(CONTROL!$C$9, $C$13, 100%, $E$13) + CHOOSE(CONTROL!$C$28, 0, 0)</f>
        <v>46.331800000000001</v>
      </c>
      <c r="E404" s="4">
        <f>234.290271718075 * CHOOSE(CONTROL!$C$9, $C$13, 100%, $E$13) + CHOOSE(CONTROL!$C$28, 0, 0)</f>
        <v>234.29027171807499</v>
      </c>
    </row>
    <row r="405" spans="1:5" ht="15">
      <c r="A405" s="13">
        <v>53843</v>
      </c>
      <c r="B405" s="4">
        <f>39.1823 * CHOOSE(CONTROL!$C$9, $C$13, 100%, $E$13) + CHOOSE(CONTROL!$C$28, 0.0311, 0)</f>
        <v>39.2134</v>
      </c>
      <c r="C405" s="4">
        <f>38.819 * CHOOSE(CONTROL!$C$9, $C$13, 100%, $E$13) + CHOOSE(CONTROL!$C$28, 0.0311, 0)</f>
        <v>38.850100000000005</v>
      </c>
      <c r="D405" s="4">
        <f>45.8334 * CHOOSE(CONTROL!$C$9, $C$13, 100%, $E$13) + CHOOSE(CONTROL!$C$28, 0, 0)</f>
        <v>45.833399999999997</v>
      </c>
      <c r="E405" s="4">
        <f>239.900429601413 * CHOOSE(CONTROL!$C$9, $C$13, 100%, $E$13) + CHOOSE(CONTROL!$C$28, 0, 0)</f>
        <v>239.90042960141301</v>
      </c>
    </row>
    <row r="406" spans="1:5" ht="15">
      <c r="A406" s="13">
        <v>53873</v>
      </c>
      <c r="B406" s="4">
        <f>39.3038 * CHOOSE(CONTROL!$C$9, $C$13, 100%, $E$13) + CHOOSE(CONTROL!$C$28, 0.0311, 0)</f>
        <v>39.334900000000005</v>
      </c>
      <c r="C406" s="4">
        <f>38.9405 * CHOOSE(CONTROL!$C$9, $C$13, 100%, $E$13) + CHOOSE(CONTROL!$C$28, 0.0311, 0)</f>
        <v>38.971600000000002</v>
      </c>
      <c r="D406" s="4">
        <f>46.2393 * CHOOSE(CONTROL!$C$9, $C$13, 100%, $E$13) + CHOOSE(CONTROL!$C$28, 0, 0)</f>
        <v>46.2393</v>
      </c>
      <c r="E406" s="4">
        <f>240.659507245662 * CHOOSE(CONTROL!$C$9, $C$13, 100%, $E$13) + CHOOSE(CONTROL!$C$28, 0, 0)</f>
        <v>240.65950724566201</v>
      </c>
    </row>
    <row r="407" spans="1:5" ht="15">
      <c r="A407" s="13">
        <v>53904</v>
      </c>
      <c r="B407" s="4">
        <f>39.2916 * CHOOSE(CONTROL!$C$9, $C$13, 100%, $E$13) + CHOOSE(CONTROL!$C$28, 0.0311, 0)</f>
        <v>39.322700000000005</v>
      </c>
      <c r="C407" s="4">
        <f>38.9283 * CHOOSE(CONTROL!$C$9, $C$13, 100%, $E$13) + CHOOSE(CONTROL!$C$28, 0.0311, 0)</f>
        <v>38.959400000000002</v>
      </c>
      <c r="D407" s="4">
        <f>46.9717 * CHOOSE(CONTROL!$C$9, $C$13, 100%, $E$13) + CHOOSE(CONTROL!$C$28, 0, 0)</f>
        <v>46.971699999999998</v>
      </c>
      <c r="E407" s="4">
        <f>240.582961600864 * CHOOSE(CONTROL!$C$9, $C$13, 100%, $E$13) + CHOOSE(CONTROL!$C$28, 0, 0)</f>
        <v>240.582961600864</v>
      </c>
    </row>
    <row r="408" spans="1:5" ht="15">
      <c r="A408" s="13">
        <v>53935</v>
      </c>
      <c r="B408" s="4">
        <f>40.2138 * CHOOSE(CONTROL!$C$9, $C$13, 100%, $E$13) + CHOOSE(CONTROL!$C$28, 0.0311, 0)</f>
        <v>40.244900000000001</v>
      </c>
      <c r="C408" s="4">
        <f>39.8505 * CHOOSE(CONTROL!$C$9, $C$13, 100%, $E$13) + CHOOSE(CONTROL!$C$28, 0.0311, 0)</f>
        <v>39.881599999999999</v>
      </c>
      <c r="D408" s="4">
        <f>46.488 * CHOOSE(CONTROL!$C$9, $C$13, 100%, $E$13) + CHOOSE(CONTROL!$C$28, 0, 0)</f>
        <v>46.488</v>
      </c>
      <c r="E408" s="4">
        <f>246.343021371931 * CHOOSE(CONTROL!$C$9, $C$13, 100%, $E$13) + CHOOSE(CONTROL!$C$28, 0, 0)</f>
        <v>246.343021371931</v>
      </c>
    </row>
    <row r="409" spans="1:5" ht="15">
      <c r="A409" s="13">
        <v>53965</v>
      </c>
      <c r="B409" s="4">
        <f>38.642 * CHOOSE(CONTROL!$C$9, $C$13, 100%, $E$13) + CHOOSE(CONTROL!$C$28, 0.0311, 0)</f>
        <v>38.673100000000005</v>
      </c>
      <c r="C409" s="4">
        <f>38.2788 * CHOOSE(CONTROL!$C$9, $C$13, 100%, $E$13) + CHOOSE(CONTROL!$C$28, 0.0311, 0)</f>
        <v>38.309899999999999</v>
      </c>
      <c r="D409" s="4">
        <f>46.2595 * CHOOSE(CONTROL!$C$9, $C$13, 100%, $E$13) + CHOOSE(CONTROL!$C$28, 0, 0)</f>
        <v>46.259500000000003</v>
      </c>
      <c r="E409" s="4">
        <f>236.526042426557 * CHOOSE(CONTROL!$C$9, $C$13, 100%, $E$13) + CHOOSE(CONTROL!$C$28, 0, 0)</f>
        <v>236.52604242655701</v>
      </c>
    </row>
    <row r="410" spans="1:5" ht="15">
      <c r="A410" s="13">
        <v>53996</v>
      </c>
      <c r="B410" s="4">
        <f>37.3838 * CHOOSE(CONTROL!$C$9, $C$13, 100%, $E$13) + CHOOSE(CONTROL!$C$28, 0.0003, 0)</f>
        <v>37.384100000000004</v>
      </c>
      <c r="C410" s="4">
        <f>37.0206 * CHOOSE(CONTROL!$C$9, $C$13, 100%, $E$13) + CHOOSE(CONTROL!$C$28, 0.0003, 0)</f>
        <v>37.020900000000005</v>
      </c>
      <c r="D410" s="4">
        <f>45.6476 * CHOOSE(CONTROL!$C$9, $C$13, 100%, $E$13) + CHOOSE(CONTROL!$C$28, 0, 0)</f>
        <v>45.647599999999997</v>
      </c>
      <c r="E410" s="4">
        <f>228.667356227271 * CHOOSE(CONTROL!$C$9, $C$13, 100%, $E$13) + CHOOSE(CONTROL!$C$28, 0, 0)</f>
        <v>228.667356227271</v>
      </c>
    </row>
    <row r="411" spans="1:5" ht="15">
      <c r="A411" s="13">
        <v>54026</v>
      </c>
      <c r="B411" s="4">
        <f>36.5735 * CHOOSE(CONTROL!$C$9, $C$13, 100%, $E$13) + CHOOSE(CONTROL!$C$28, 0.0003, 0)</f>
        <v>36.573800000000006</v>
      </c>
      <c r="C411" s="4">
        <f>36.2102 * CHOOSE(CONTROL!$C$9, $C$13, 100%, $E$13) + CHOOSE(CONTROL!$C$28, 0.0003, 0)</f>
        <v>36.210500000000003</v>
      </c>
      <c r="D411" s="4">
        <f>45.4372 * CHOOSE(CONTROL!$C$9, $C$13, 100%, $E$13) + CHOOSE(CONTROL!$C$28, 0, 0)</f>
        <v>45.437199999999997</v>
      </c>
      <c r="E411" s="4">
        <f>223.605775464988 * CHOOSE(CONTROL!$C$9, $C$13, 100%, $E$13) + CHOOSE(CONTROL!$C$28, 0, 0)</f>
        <v>223.605775464988</v>
      </c>
    </row>
    <row r="412" spans="1:5" ht="15">
      <c r="A412" s="13">
        <v>54057</v>
      </c>
      <c r="B412" s="4">
        <f>36.0128 * CHOOSE(CONTROL!$C$9, $C$13, 100%, $E$13) + CHOOSE(CONTROL!$C$28, 0.0003, 0)</f>
        <v>36.013100000000001</v>
      </c>
      <c r="C412" s="4">
        <f>35.6495 * CHOOSE(CONTROL!$C$9, $C$13, 100%, $E$13) + CHOOSE(CONTROL!$C$28, 0.0003, 0)</f>
        <v>35.649800000000006</v>
      </c>
      <c r="D412" s="4">
        <f>43.8885 * CHOOSE(CONTROL!$C$9, $C$13, 100%, $E$13) + CHOOSE(CONTROL!$C$28, 0, 0)</f>
        <v>43.888500000000001</v>
      </c>
      <c r="E412" s="4">
        <f>220.103812215468 * CHOOSE(CONTROL!$C$9, $C$13, 100%, $E$13) + CHOOSE(CONTROL!$C$28, 0, 0)</f>
        <v>220.103812215468</v>
      </c>
    </row>
    <row r="413" spans="1:5" ht="15">
      <c r="A413" s="13">
        <v>54088</v>
      </c>
      <c r="B413" s="4">
        <f>35.1018 * CHOOSE(CONTROL!$C$9, $C$13, 100%, $E$13) + CHOOSE(CONTROL!$C$28, 0.0003, 0)</f>
        <v>35.1021</v>
      </c>
      <c r="C413" s="4">
        <f>34.7385 * CHOOSE(CONTROL!$C$9, $C$13, 100%, $E$13) + CHOOSE(CONTROL!$C$28, 0.0003, 0)</f>
        <v>34.738800000000005</v>
      </c>
      <c r="D413" s="4">
        <f>42.465 * CHOOSE(CONTROL!$C$9, $C$13, 100%, $E$13) + CHOOSE(CONTROL!$C$28, 0, 0)</f>
        <v>42.465000000000003</v>
      </c>
      <c r="E413" s="4">
        <f>213.792073630032 * CHOOSE(CONTROL!$C$9, $C$13, 100%, $E$13) + CHOOSE(CONTROL!$C$28, 0, 0)</f>
        <v>213.79207363003201</v>
      </c>
    </row>
    <row r="414" spans="1:5" ht="15">
      <c r="A414" s="13">
        <v>54116</v>
      </c>
      <c r="B414" s="4">
        <f>35.9169 * CHOOSE(CONTROL!$C$9, $C$13, 100%, $E$13) + CHOOSE(CONTROL!$C$28, 0.0003, 0)</f>
        <v>35.917200000000001</v>
      </c>
      <c r="C414" s="4">
        <f>35.5536 * CHOOSE(CONTROL!$C$9, $C$13, 100%, $E$13) + CHOOSE(CONTROL!$C$28, 0.0003, 0)</f>
        <v>35.553900000000006</v>
      </c>
      <c r="D414" s="4">
        <f>43.8984 * CHOOSE(CONTROL!$C$9, $C$13, 100%, $E$13) + CHOOSE(CONTROL!$C$28, 0, 0)</f>
        <v>43.898400000000002</v>
      </c>
      <c r="E414" s="4">
        <f>218.86833999321 * CHOOSE(CONTROL!$C$9, $C$13, 100%, $E$13) + CHOOSE(CONTROL!$C$28, 0, 0)</f>
        <v>218.86833999320999</v>
      </c>
    </row>
    <row r="415" spans="1:5" ht="15">
      <c r="A415" s="13">
        <v>54148</v>
      </c>
      <c r="B415" s="4">
        <f>38.0574 * CHOOSE(CONTROL!$C$9, $C$13, 100%, $E$13) + CHOOSE(CONTROL!$C$28, 0.0003, 0)</f>
        <v>38.057700000000004</v>
      </c>
      <c r="C415" s="4">
        <f>37.6941 * CHOOSE(CONTROL!$C$9, $C$13, 100%, $E$13) + CHOOSE(CONTROL!$C$28, 0.0003, 0)</f>
        <v>37.694400000000002</v>
      </c>
      <c r="D415" s="4">
        <f>46.1423 * CHOOSE(CONTROL!$C$9, $C$13, 100%, $E$13) + CHOOSE(CONTROL!$C$28, 0, 0)</f>
        <v>46.142299999999999</v>
      </c>
      <c r="E415" s="4">
        <f>232.198885232094 * CHOOSE(CONTROL!$C$9, $C$13, 100%, $E$13) + CHOOSE(CONTROL!$C$28, 0, 0)</f>
        <v>232.198885232094</v>
      </c>
    </row>
    <row r="416" spans="1:5" ht="15">
      <c r="A416" s="13">
        <v>54178</v>
      </c>
      <c r="B416" s="4">
        <f>39.5782 * CHOOSE(CONTROL!$C$9, $C$13, 100%, $E$13) + CHOOSE(CONTROL!$C$28, 0.0003, 0)</f>
        <v>39.578500000000005</v>
      </c>
      <c r="C416" s="4">
        <f>39.2149 * CHOOSE(CONTROL!$C$9, $C$13, 100%, $E$13) + CHOOSE(CONTROL!$C$28, 0.0003, 0)</f>
        <v>39.215200000000003</v>
      </c>
      <c r="D416" s="4">
        <f>47.4349 * CHOOSE(CONTROL!$C$9, $C$13, 100%, $E$13) + CHOOSE(CONTROL!$C$28, 0, 0)</f>
        <v>47.434899999999999</v>
      </c>
      <c r="E416" s="4">
        <f>241.670415277195 * CHOOSE(CONTROL!$C$9, $C$13, 100%, $E$13) + CHOOSE(CONTROL!$C$28, 0, 0)</f>
        <v>241.67041527719499</v>
      </c>
    </row>
    <row r="417" spans="1:5" ht="15">
      <c r="A417" s="13">
        <v>54209</v>
      </c>
      <c r="B417" s="4">
        <f>40.5074 * CHOOSE(CONTROL!$C$9, $C$13, 100%, $E$13) + CHOOSE(CONTROL!$C$28, 0.0311, 0)</f>
        <v>40.538499999999999</v>
      </c>
      <c r="C417" s="4">
        <f>40.1441 * CHOOSE(CONTROL!$C$9, $C$13, 100%, $E$13) + CHOOSE(CONTROL!$C$28, 0.0311, 0)</f>
        <v>40.175200000000004</v>
      </c>
      <c r="D417" s="4">
        <f>46.9241 * CHOOSE(CONTROL!$C$9, $C$13, 100%, $E$13) + CHOOSE(CONTROL!$C$28, 0, 0)</f>
        <v>46.924100000000003</v>
      </c>
      <c r="E417" s="4">
        <f>247.457293133857 * CHOOSE(CONTROL!$C$9, $C$13, 100%, $E$13) + CHOOSE(CONTROL!$C$28, 0, 0)</f>
        <v>247.45729313385701</v>
      </c>
    </row>
    <row r="418" spans="1:5" ht="15">
      <c r="A418" s="13">
        <v>54239</v>
      </c>
      <c r="B418" s="4">
        <f>40.6331 * CHOOSE(CONTROL!$C$9, $C$13, 100%, $E$13) + CHOOSE(CONTROL!$C$28, 0.0311, 0)</f>
        <v>40.664200000000001</v>
      </c>
      <c r="C418" s="4">
        <f>40.2698 * CHOOSE(CONTROL!$C$9, $C$13, 100%, $E$13) + CHOOSE(CONTROL!$C$28, 0.0311, 0)</f>
        <v>40.300899999999999</v>
      </c>
      <c r="D418" s="4">
        <f>47.3401 * CHOOSE(CONTROL!$C$9, $C$13, 100%, $E$13) + CHOOSE(CONTROL!$C$28, 0, 0)</f>
        <v>47.3401</v>
      </c>
      <c r="E418" s="4">
        <f>248.2402817239 * CHOOSE(CONTROL!$C$9, $C$13, 100%, $E$13) + CHOOSE(CONTROL!$C$28, 0, 0)</f>
        <v>248.24028172390001</v>
      </c>
    </row>
    <row r="419" spans="1:5" ht="15">
      <c r="A419" s="13">
        <v>54270</v>
      </c>
      <c r="B419" s="4">
        <f>40.6204 * CHOOSE(CONTROL!$C$9, $C$13, 100%, $E$13) + CHOOSE(CONTROL!$C$28, 0.0311, 0)</f>
        <v>40.651499999999999</v>
      </c>
      <c r="C419" s="4">
        <f>40.2572 * CHOOSE(CONTROL!$C$9, $C$13, 100%, $E$13) + CHOOSE(CONTROL!$C$28, 0.0311, 0)</f>
        <v>40.2883</v>
      </c>
      <c r="D419" s="4">
        <f>48.0906 * CHOOSE(CONTROL!$C$9, $C$13, 100%, $E$13) + CHOOSE(CONTROL!$C$28, 0, 0)</f>
        <v>48.090600000000002</v>
      </c>
      <c r="E419" s="4">
        <f>248.161324891291 * CHOOSE(CONTROL!$C$9, $C$13, 100%, $E$13) + CHOOSE(CONTROL!$C$28, 0, 0)</f>
        <v>248.161324891291</v>
      </c>
    </row>
    <row r="420" spans="1:5" ht="15">
      <c r="A420" s="13">
        <v>54301</v>
      </c>
      <c r="B420" s="4">
        <f>41.5745 * CHOOSE(CONTROL!$C$9, $C$13, 100%, $E$13) + CHOOSE(CONTROL!$C$28, 0.0311, 0)</f>
        <v>41.605600000000003</v>
      </c>
      <c r="C420" s="4">
        <f>41.2112 * CHOOSE(CONTROL!$C$9, $C$13, 100%, $E$13) + CHOOSE(CONTROL!$C$28, 0.0311, 0)</f>
        <v>41.2423</v>
      </c>
      <c r="D420" s="4">
        <f>47.595 * CHOOSE(CONTROL!$C$9, $C$13, 100%, $E$13) + CHOOSE(CONTROL!$C$28, 0, 0)</f>
        <v>47.594999999999999</v>
      </c>
      <c r="E420" s="4">
        <f>254.102826545147 * CHOOSE(CONTROL!$C$9, $C$13, 100%, $E$13) + CHOOSE(CONTROL!$C$28, 0, 0)</f>
        <v>254.102826545147</v>
      </c>
    </row>
    <row r="421" spans="1:5" ht="15">
      <c r="A421" s="13">
        <v>54331</v>
      </c>
      <c r="B421" s="4">
        <f>39.9485 * CHOOSE(CONTROL!$C$9, $C$13, 100%, $E$13) + CHOOSE(CONTROL!$C$28, 0.0311, 0)</f>
        <v>39.979600000000005</v>
      </c>
      <c r="C421" s="4">
        <f>39.5852 * CHOOSE(CONTROL!$C$9, $C$13, 100%, $E$13) + CHOOSE(CONTROL!$C$28, 0.0311, 0)</f>
        <v>39.616300000000003</v>
      </c>
      <c r="D421" s="4">
        <f>47.3608 * CHOOSE(CONTROL!$C$9, $C$13, 100%, $E$13) + CHOOSE(CONTROL!$C$28, 0, 0)</f>
        <v>47.360799999999998</v>
      </c>
      <c r="E421" s="4">
        <f>243.976612762994 * CHOOSE(CONTROL!$C$9, $C$13, 100%, $E$13) + CHOOSE(CONTROL!$C$28, 0, 0)</f>
        <v>243.97661276299399</v>
      </c>
    </row>
    <row r="422" spans="1:5" ht="15">
      <c r="A422" s="13">
        <v>54362</v>
      </c>
      <c r="B422" s="4">
        <f>38.6469 * CHOOSE(CONTROL!$C$9, $C$13, 100%, $E$13) + CHOOSE(CONTROL!$C$28, 0.0003, 0)</f>
        <v>38.647200000000005</v>
      </c>
      <c r="C422" s="4">
        <f>38.2836 * CHOOSE(CONTROL!$C$9, $C$13, 100%, $E$13) + CHOOSE(CONTROL!$C$28, 0.0003, 0)</f>
        <v>38.283900000000003</v>
      </c>
      <c r="D422" s="4">
        <f>46.7337 * CHOOSE(CONTROL!$C$9, $C$13, 100%, $E$13) + CHOOSE(CONTROL!$C$28, 0, 0)</f>
        <v>46.733699999999999</v>
      </c>
      <c r="E422" s="4">
        <f>235.87037794843 * CHOOSE(CONTROL!$C$9, $C$13, 100%, $E$13) + CHOOSE(CONTROL!$C$28, 0, 0)</f>
        <v>235.87037794842999</v>
      </c>
    </row>
    <row r="423" spans="1:5" ht="15">
      <c r="A423" s="13">
        <v>54392</v>
      </c>
      <c r="B423" s="4">
        <f>37.8086 * CHOOSE(CONTROL!$C$9, $C$13, 100%, $E$13) + CHOOSE(CONTROL!$C$28, 0.0003, 0)</f>
        <v>37.808900000000001</v>
      </c>
      <c r="C423" s="4">
        <f>37.4453 * CHOOSE(CONTROL!$C$9, $C$13, 100%, $E$13) + CHOOSE(CONTROL!$C$28, 0.0003, 0)</f>
        <v>37.445600000000006</v>
      </c>
      <c r="D423" s="4">
        <f>46.5181 * CHOOSE(CONTROL!$C$9, $C$13, 100%, $E$13) + CHOOSE(CONTROL!$C$28, 0, 0)</f>
        <v>46.518099999999997</v>
      </c>
      <c r="E423" s="4">
        <f>230.649357392135 * CHOOSE(CONTROL!$C$9, $C$13, 100%, $E$13) + CHOOSE(CONTROL!$C$28, 0, 0)</f>
        <v>230.64935739213499</v>
      </c>
    </row>
    <row r="424" spans="1:5" ht="15">
      <c r="A424" s="13">
        <v>54423</v>
      </c>
      <c r="B424" s="4">
        <f>37.2285 * CHOOSE(CONTROL!$C$9, $C$13, 100%, $E$13) + CHOOSE(CONTROL!$C$28, 0.0003, 0)</f>
        <v>37.2288</v>
      </c>
      <c r="C424" s="4">
        <f>36.8653 * CHOOSE(CONTROL!$C$9, $C$13, 100%, $E$13) + CHOOSE(CONTROL!$C$28, 0.0003, 0)</f>
        <v>36.865600000000001</v>
      </c>
      <c r="D424" s="4">
        <f>44.931 * CHOOSE(CONTROL!$C$9, $C$13, 100%, $E$13) + CHOOSE(CONTROL!$C$28, 0, 0)</f>
        <v>44.930999999999997</v>
      </c>
      <c r="E424" s="4">
        <f>227.037082300256 * CHOOSE(CONTROL!$C$9, $C$13, 100%, $E$13) + CHOOSE(CONTROL!$C$28, 0, 0)</f>
        <v>227.037082300256</v>
      </c>
    </row>
    <row r="425" spans="1:5" ht="15">
      <c r="A425" s="13">
        <v>54454</v>
      </c>
      <c r="B425" s="4">
        <f>36.2861 * CHOOSE(CONTROL!$C$9, $C$13, 100%, $E$13) + CHOOSE(CONTROL!$C$28, 0.0003, 0)</f>
        <v>36.2864</v>
      </c>
      <c r="C425" s="4">
        <f>35.9229 * CHOOSE(CONTROL!$C$9, $C$13, 100%, $E$13) + CHOOSE(CONTROL!$C$28, 0.0003, 0)</f>
        <v>35.923200000000001</v>
      </c>
      <c r="D425" s="4">
        <f>43.4723 * CHOOSE(CONTROL!$C$9, $C$13, 100%, $E$13) + CHOOSE(CONTROL!$C$28, 0, 0)</f>
        <v>43.472299999999997</v>
      </c>
      <c r="E425" s="4">
        <f>220.526523949378 * CHOOSE(CONTROL!$C$9, $C$13, 100%, $E$13) + CHOOSE(CONTROL!$C$28, 0, 0)</f>
        <v>220.526523949378</v>
      </c>
    </row>
    <row r="426" spans="1:5" ht="15">
      <c r="A426" s="13">
        <v>54482</v>
      </c>
      <c r="B426" s="4">
        <f>37.1293 * CHOOSE(CONTROL!$C$9, $C$13, 100%, $E$13) + CHOOSE(CONTROL!$C$28, 0.0003, 0)</f>
        <v>37.129600000000003</v>
      </c>
      <c r="C426" s="4">
        <f>36.7661 * CHOOSE(CONTROL!$C$9, $C$13, 100%, $E$13) + CHOOSE(CONTROL!$C$28, 0.0003, 0)</f>
        <v>36.766400000000004</v>
      </c>
      <c r="D426" s="4">
        <f>44.9412 * CHOOSE(CONTROL!$C$9, $C$13, 100%, $E$13) + CHOOSE(CONTROL!$C$28, 0, 0)</f>
        <v>44.941200000000002</v>
      </c>
      <c r="E426" s="4">
        <f>225.762692702996 * CHOOSE(CONTROL!$C$9, $C$13, 100%, $E$13) + CHOOSE(CONTROL!$C$28, 0, 0)</f>
        <v>225.76269270299599</v>
      </c>
    </row>
    <row r="427" spans="1:5" ht="15">
      <c r="A427" s="13">
        <v>54513</v>
      </c>
      <c r="B427" s="4">
        <f>39.3437 * CHOOSE(CONTROL!$C$9, $C$13, 100%, $E$13) + CHOOSE(CONTROL!$C$28, 0.0003, 0)</f>
        <v>39.344000000000001</v>
      </c>
      <c r="C427" s="4">
        <f>38.9804 * CHOOSE(CONTROL!$C$9, $C$13, 100%, $E$13) + CHOOSE(CONTROL!$C$28, 0.0003, 0)</f>
        <v>38.980700000000006</v>
      </c>
      <c r="D427" s="4">
        <f>47.2407 * CHOOSE(CONTROL!$C$9, $C$13, 100%, $E$13) + CHOOSE(CONTROL!$C$28, 0, 0)</f>
        <v>47.240699999999997</v>
      </c>
      <c r="E427" s="4">
        <f>239.513150116905 * CHOOSE(CONTROL!$C$9, $C$13, 100%, $E$13) + CHOOSE(CONTROL!$C$28, 0, 0)</f>
        <v>239.513150116905</v>
      </c>
    </row>
    <row r="428" spans="1:5" ht="15">
      <c r="A428" s="13">
        <v>54543</v>
      </c>
      <c r="B428" s="4">
        <f>40.917 * CHOOSE(CONTROL!$C$9, $C$13, 100%, $E$13) + CHOOSE(CONTROL!$C$28, 0.0003, 0)</f>
        <v>40.917300000000004</v>
      </c>
      <c r="C428" s="4">
        <f>40.5537 * CHOOSE(CONTROL!$C$9, $C$13, 100%, $E$13) + CHOOSE(CONTROL!$C$28, 0.0003, 0)</f>
        <v>40.554000000000002</v>
      </c>
      <c r="D428" s="4">
        <f>48.5653 * CHOOSE(CONTROL!$C$9, $C$13, 100%, $E$13) + CHOOSE(CONTROL!$C$28, 0, 0)</f>
        <v>48.565300000000001</v>
      </c>
      <c r="E428" s="4">
        <f>249.283033358426 * CHOOSE(CONTROL!$C$9, $C$13, 100%, $E$13) + CHOOSE(CONTROL!$C$28, 0, 0)</f>
        <v>249.283033358426</v>
      </c>
    </row>
    <row r="429" spans="1:5" ht="15">
      <c r="A429" s="13">
        <v>54574</v>
      </c>
      <c r="B429" s="4">
        <f>41.8782 * CHOOSE(CONTROL!$C$9, $C$13, 100%, $E$13) + CHOOSE(CONTROL!$C$28, 0.0311, 0)</f>
        <v>41.909300000000002</v>
      </c>
      <c r="C429" s="4">
        <f>41.5149 * CHOOSE(CONTROL!$C$9, $C$13, 100%, $E$13) + CHOOSE(CONTROL!$C$28, 0.0311, 0)</f>
        <v>41.545999999999999</v>
      </c>
      <c r="D429" s="4">
        <f>48.0419 * CHOOSE(CONTROL!$C$9, $C$13, 100%, $E$13) + CHOOSE(CONTROL!$C$28, 0, 0)</f>
        <v>48.041899999999998</v>
      </c>
      <c r="E429" s="4">
        <f>255.252197867574 * CHOOSE(CONTROL!$C$9, $C$13, 100%, $E$13) + CHOOSE(CONTROL!$C$28, 0, 0)</f>
        <v>255.25219786757401</v>
      </c>
    </row>
    <row r="430" spans="1:5" ht="15">
      <c r="A430" s="13">
        <v>54604</v>
      </c>
      <c r="B430" s="4">
        <f>42.0083 * CHOOSE(CONTROL!$C$9, $C$13, 100%, $E$13) + CHOOSE(CONTROL!$C$28, 0.0311, 0)</f>
        <v>42.039400000000001</v>
      </c>
      <c r="C430" s="4">
        <f>41.645 * CHOOSE(CONTROL!$C$9, $C$13, 100%, $E$13) + CHOOSE(CONTROL!$C$28, 0.0311, 0)</f>
        <v>41.676100000000005</v>
      </c>
      <c r="D430" s="4">
        <f>48.4682 * CHOOSE(CONTROL!$C$9, $C$13, 100%, $E$13) + CHOOSE(CONTROL!$C$28, 0, 0)</f>
        <v>48.468200000000003</v>
      </c>
      <c r="E430" s="4">
        <f>256.059850598203 * CHOOSE(CONTROL!$C$9, $C$13, 100%, $E$13) + CHOOSE(CONTROL!$C$28, 0, 0)</f>
        <v>256.05985059820301</v>
      </c>
    </row>
    <row r="431" spans="1:5" ht="15">
      <c r="A431" s="13">
        <v>54635</v>
      </c>
      <c r="B431" s="4">
        <f>41.9952 * CHOOSE(CONTROL!$C$9, $C$13, 100%, $E$13) + CHOOSE(CONTROL!$C$28, 0.0311, 0)</f>
        <v>42.026299999999999</v>
      </c>
      <c r="C431" s="4">
        <f>41.6319 * CHOOSE(CONTROL!$C$9, $C$13, 100%, $E$13) + CHOOSE(CONTROL!$C$28, 0.0311, 0)</f>
        <v>41.663000000000004</v>
      </c>
      <c r="D431" s="4">
        <f>49.2374 * CHOOSE(CONTROL!$C$9, $C$13, 100%, $E$13) + CHOOSE(CONTROL!$C$28, 0, 0)</f>
        <v>49.237400000000001</v>
      </c>
      <c r="E431" s="4">
        <f>255.978406625367 * CHOOSE(CONTROL!$C$9, $C$13, 100%, $E$13) + CHOOSE(CONTROL!$C$28, 0, 0)</f>
        <v>255.978406625367</v>
      </c>
    </row>
    <row r="432" spans="1:5" ht="15">
      <c r="A432" s="13">
        <v>54666</v>
      </c>
      <c r="B432" s="4">
        <f>42.9821 * CHOOSE(CONTROL!$C$9, $C$13, 100%, $E$13) + CHOOSE(CONTROL!$C$28, 0.0311, 0)</f>
        <v>43.013200000000005</v>
      </c>
      <c r="C432" s="4">
        <f>42.6188 * CHOOSE(CONTROL!$C$9, $C$13, 100%, $E$13) + CHOOSE(CONTROL!$C$28, 0.0311, 0)</f>
        <v>42.649900000000002</v>
      </c>
      <c r="D432" s="4">
        <f>48.7294 * CHOOSE(CONTROL!$C$9, $C$13, 100%, $E$13) + CHOOSE(CONTROL!$C$28, 0, 0)</f>
        <v>48.729399999999998</v>
      </c>
      <c r="E432" s="4">
        <f>262.107065581319 * CHOOSE(CONTROL!$C$9, $C$13, 100%, $E$13) + CHOOSE(CONTROL!$C$28, 0, 0)</f>
        <v>262.10706558131898</v>
      </c>
    </row>
    <row r="433" spans="1:5" ht="15">
      <c r="A433" s="13">
        <v>54696</v>
      </c>
      <c r="B433" s="4">
        <f>41.3 * CHOOSE(CONTROL!$C$9, $C$13, 100%, $E$13) + CHOOSE(CONTROL!$C$28, 0.0311, 0)</f>
        <v>41.331099999999999</v>
      </c>
      <c r="C433" s="4">
        <f>40.9368 * CHOOSE(CONTROL!$C$9, $C$13, 100%, $E$13) + CHOOSE(CONTROL!$C$28, 0.0311, 0)</f>
        <v>40.9679</v>
      </c>
      <c r="D433" s="4">
        <f>48.4894 * CHOOSE(CONTROL!$C$9, $C$13, 100%, $E$13) + CHOOSE(CONTROL!$C$28, 0, 0)</f>
        <v>48.489400000000003</v>
      </c>
      <c r="E433" s="4">
        <f>251.661876065028 * CHOOSE(CONTROL!$C$9, $C$13, 100%, $E$13) + CHOOSE(CONTROL!$C$28, 0, 0)</f>
        <v>251.661876065028</v>
      </c>
    </row>
    <row r="434" spans="1:5" ht="15">
      <c r="A434" s="13">
        <v>54727</v>
      </c>
      <c r="B434" s="4">
        <f>39.9535 * CHOOSE(CONTROL!$C$9, $C$13, 100%, $E$13) + CHOOSE(CONTROL!$C$28, 0.0003, 0)</f>
        <v>39.953800000000001</v>
      </c>
      <c r="C434" s="4">
        <f>39.5903 * CHOOSE(CONTROL!$C$9, $C$13, 100%, $E$13) + CHOOSE(CONTROL!$C$28, 0.0003, 0)</f>
        <v>39.590600000000002</v>
      </c>
      <c r="D434" s="4">
        <f>47.8468 * CHOOSE(CONTROL!$C$9, $C$13, 100%, $E$13) + CHOOSE(CONTROL!$C$28, 0, 0)</f>
        <v>47.846800000000002</v>
      </c>
      <c r="E434" s="4">
        <f>243.300294853806 * CHOOSE(CONTROL!$C$9, $C$13, 100%, $E$13) + CHOOSE(CONTROL!$C$28, 0, 0)</f>
        <v>243.30029485380601</v>
      </c>
    </row>
    <row r="435" spans="1:5" ht="15">
      <c r="A435" s="13">
        <v>54757</v>
      </c>
      <c r="B435" s="4">
        <f>39.0863 * CHOOSE(CONTROL!$C$9, $C$13, 100%, $E$13) + CHOOSE(CONTROL!$C$28, 0.0003, 0)</f>
        <v>39.086600000000004</v>
      </c>
      <c r="C435" s="4">
        <f>38.723 * CHOOSE(CONTROL!$C$9, $C$13, 100%, $E$13) + CHOOSE(CONTROL!$C$28, 0.0003, 0)</f>
        <v>38.723300000000002</v>
      </c>
      <c r="D435" s="4">
        <f>47.6259 * CHOOSE(CONTROL!$C$9, $C$13, 100%, $E$13) + CHOOSE(CONTROL!$C$28, 0, 0)</f>
        <v>47.625900000000001</v>
      </c>
      <c r="E435" s="4">
        <f>237.914812149987 * CHOOSE(CONTROL!$C$9, $C$13, 100%, $E$13) + CHOOSE(CONTROL!$C$28, 0, 0)</f>
        <v>237.914812149987</v>
      </c>
    </row>
    <row r="436" spans="1:5" ht="15">
      <c r="A436" s="13">
        <v>54788</v>
      </c>
      <c r="B436" s="4">
        <f>38.4862 * CHOOSE(CONTROL!$C$9, $C$13, 100%, $E$13) + CHOOSE(CONTROL!$C$28, 0.0003, 0)</f>
        <v>38.486499999999999</v>
      </c>
      <c r="C436" s="4">
        <f>38.123 * CHOOSE(CONTROL!$C$9, $C$13, 100%, $E$13) + CHOOSE(CONTROL!$C$28, 0.0003, 0)</f>
        <v>38.1233</v>
      </c>
      <c r="D436" s="4">
        <f>45.9993 * CHOOSE(CONTROL!$C$9, $C$13, 100%, $E$13) + CHOOSE(CONTROL!$C$28, 0, 0)</f>
        <v>45.999299999999998</v>
      </c>
      <c r="E436" s="4">
        <f>234.188750392714 * CHOOSE(CONTROL!$C$9, $C$13, 100%, $E$13) + CHOOSE(CONTROL!$C$28, 0, 0)</f>
        <v>234.18875039271401</v>
      </c>
    </row>
    <row r="437" spans="1:5" ht="15">
      <c r="A437" s="13">
        <v>54819</v>
      </c>
      <c r="B437" s="4">
        <f>37.5113 * CHOOSE(CONTROL!$C$9, $C$13, 100%, $E$13) + CHOOSE(CONTROL!$C$28, 0.0003, 0)</f>
        <v>37.511600000000001</v>
      </c>
      <c r="C437" s="4">
        <f>37.148 * CHOOSE(CONTROL!$C$9, $C$13, 100%, $E$13) + CHOOSE(CONTROL!$C$28, 0.0003, 0)</f>
        <v>37.148300000000006</v>
      </c>
      <c r="D437" s="4">
        <f>44.5044 * CHOOSE(CONTROL!$C$9, $C$13, 100%, $E$13) + CHOOSE(CONTROL!$C$28, 0, 0)</f>
        <v>44.504399999999997</v>
      </c>
      <c r="E437" s="4">
        <f>227.473109453783 * CHOOSE(CONTROL!$C$9, $C$13, 100%, $E$13) + CHOOSE(CONTROL!$C$28, 0, 0)</f>
        <v>227.473109453783</v>
      </c>
    </row>
    <row r="438" spans="1:5" ht="15">
      <c r="A438" s="13">
        <v>54847</v>
      </c>
      <c r="B438" s="4">
        <f>38.3836 * CHOOSE(CONTROL!$C$9, $C$13, 100%, $E$13) + CHOOSE(CONTROL!$C$28, 0.0003, 0)</f>
        <v>38.383900000000004</v>
      </c>
      <c r="C438" s="4">
        <f>38.0203 * CHOOSE(CONTROL!$C$9, $C$13, 100%, $E$13) + CHOOSE(CONTROL!$C$28, 0.0003, 0)</f>
        <v>38.020600000000002</v>
      </c>
      <c r="D438" s="4">
        <f>46.0098 * CHOOSE(CONTROL!$C$9, $C$13, 100%, $E$13) + CHOOSE(CONTROL!$C$28, 0, 0)</f>
        <v>46.009799999999998</v>
      </c>
      <c r="E438" s="4">
        <f>232.874217523141 * CHOOSE(CONTROL!$C$9, $C$13, 100%, $E$13) + CHOOSE(CONTROL!$C$28, 0, 0)</f>
        <v>232.874217523141</v>
      </c>
    </row>
    <row r="439" spans="1:5" ht="15">
      <c r="A439" s="13">
        <v>54878</v>
      </c>
      <c r="B439" s="4">
        <f>40.6743 * CHOOSE(CONTROL!$C$9, $C$13, 100%, $E$13) + CHOOSE(CONTROL!$C$28, 0.0003, 0)</f>
        <v>40.674600000000005</v>
      </c>
      <c r="C439" s="4">
        <f>40.3111 * CHOOSE(CONTROL!$C$9, $C$13, 100%, $E$13) + CHOOSE(CONTROL!$C$28, 0.0003, 0)</f>
        <v>40.311400000000006</v>
      </c>
      <c r="D439" s="4">
        <f>48.3664 * CHOOSE(CONTROL!$C$9, $C$13, 100%, $E$13) + CHOOSE(CONTROL!$C$28, 0, 0)</f>
        <v>48.366399999999999</v>
      </c>
      <c r="E439" s="4">
        <f>247.057814345588 * CHOOSE(CONTROL!$C$9, $C$13, 100%, $E$13) + CHOOSE(CONTROL!$C$28, 0, 0)</f>
        <v>247.05781434558801</v>
      </c>
    </row>
    <row r="440" spans="1:5" ht="15">
      <c r="A440" s="13">
        <v>54908</v>
      </c>
      <c r="B440" s="4">
        <f>42.3019 * CHOOSE(CONTROL!$C$9, $C$13, 100%, $E$13) + CHOOSE(CONTROL!$C$28, 0.0003, 0)</f>
        <v>42.302200000000006</v>
      </c>
      <c r="C440" s="4">
        <f>41.9386 * CHOOSE(CONTROL!$C$9, $C$13, 100%, $E$13) + CHOOSE(CONTROL!$C$28, 0.0003, 0)</f>
        <v>41.938900000000004</v>
      </c>
      <c r="D440" s="4">
        <f>49.7238 * CHOOSE(CONTROL!$C$9, $C$13, 100%, $E$13) + CHOOSE(CONTROL!$C$28, 0, 0)</f>
        <v>49.723799999999997</v>
      </c>
      <c r="E440" s="4">
        <f>257.135448909217 * CHOOSE(CONTROL!$C$9, $C$13, 100%, $E$13) + CHOOSE(CONTROL!$C$28, 0, 0)</f>
        <v>257.13544890921702</v>
      </c>
    </row>
    <row r="441" spans="1:5" ht="15">
      <c r="A441" s="13">
        <v>54939</v>
      </c>
      <c r="B441" s="4">
        <f>43.2963 * CHOOSE(CONTROL!$C$9, $C$13, 100%, $E$13) + CHOOSE(CONTROL!$C$28, 0.0311, 0)</f>
        <v>43.327400000000004</v>
      </c>
      <c r="C441" s="4">
        <f>42.9331 * CHOOSE(CONTROL!$C$9, $C$13, 100%, $E$13) + CHOOSE(CONTROL!$C$28, 0.0311, 0)</f>
        <v>42.964200000000005</v>
      </c>
      <c r="D441" s="4">
        <f>49.1874 * CHOOSE(CONTROL!$C$9, $C$13, 100%, $E$13) + CHOOSE(CONTROL!$C$28, 0, 0)</f>
        <v>49.187399999999997</v>
      </c>
      <c r="E441" s="4">
        <f>263.292642100403 * CHOOSE(CONTROL!$C$9, $C$13, 100%, $E$13) + CHOOSE(CONTROL!$C$28, 0, 0)</f>
        <v>263.29264210040299</v>
      </c>
    </row>
    <row r="442" spans="1:5" ht="15">
      <c r="A442" s="13">
        <v>54969</v>
      </c>
      <c r="B442" s="4">
        <f>43.4309 * CHOOSE(CONTROL!$C$9, $C$13, 100%, $E$13) + CHOOSE(CONTROL!$C$28, 0.0311, 0)</f>
        <v>43.462000000000003</v>
      </c>
      <c r="C442" s="4">
        <f>43.0676 * CHOOSE(CONTROL!$C$9, $C$13, 100%, $E$13) + CHOOSE(CONTROL!$C$28, 0.0311, 0)</f>
        <v>43.098700000000001</v>
      </c>
      <c r="D442" s="4">
        <f>49.6243 * CHOOSE(CONTROL!$C$9, $C$13, 100%, $E$13) + CHOOSE(CONTROL!$C$28, 0, 0)</f>
        <v>49.624299999999998</v>
      </c>
      <c r="E442" s="4">
        <f>264.125735892047 * CHOOSE(CONTROL!$C$9, $C$13, 100%, $E$13) + CHOOSE(CONTROL!$C$28, 0, 0)</f>
        <v>264.12573589204698</v>
      </c>
    </row>
    <row r="443" spans="1:5" ht="15">
      <c r="A443" s="13">
        <v>55000</v>
      </c>
      <c r="B443" s="4">
        <f>43.4173 * CHOOSE(CONTROL!$C$9, $C$13, 100%, $E$13) + CHOOSE(CONTROL!$C$28, 0.0311, 0)</f>
        <v>43.448399999999999</v>
      </c>
      <c r="C443" s="4">
        <f>43.054 * CHOOSE(CONTROL!$C$9, $C$13, 100%, $E$13) + CHOOSE(CONTROL!$C$28, 0.0311, 0)</f>
        <v>43.085100000000004</v>
      </c>
      <c r="D443" s="4">
        <f>50.4125 * CHOOSE(CONTROL!$C$9, $C$13, 100%, $E$13) + CHOOSE(CONTROL!$C$28, 0, 0)</f>
        <v>50.412500000000001</v>
      </c>
      <c r="E443" s="4">
        <f>264.041726434066 * CHOOSE(CONTROL!$C$9, $C$13, 100%, $E$13) + CHOOSE(CONTROL!$C$28, 0, 0)</f>
        <v>264.04172643406599</v>
      </c>
    </row>
    <row r="444" spans="1:5" ht="15">
      <c r="A444" s="13">
        <v>55031</v>
      </c>
      <c r="B444" s="4">
        <f>44.4383 * CHOOSE(CONTROL!$C$9, $C$13, 100%, $E$13) + CHOOSE(CONTROL!$C$28, 0.0311, 0)</f>
        <v>44.4694</v>
      </c>
      <c r="C444" s="4">
        <f>44.075 * CHOOSE(CONTROL!$C$9, $C$13, 100%, $E$13) + CHOOSE(CONTROL!$C$28, 0.0311, 0)</f>
        <v>44.106100000000005</v>
      </c>
      <c r="D444" s="4">
        <f>49.892 * CHOOSE(CONTROL!$C$9, $C$13, 100%, $E$13) + CHOOSE(CONTROL!$C$28, 0, 0)</f>
        <v>49.892000000000003</v>
      </c>
      <c r="E444" s="4">
        <f>270.363438147131 * CHOOSE(CONTROL!$C$9, $C$13, 100%, $E$13) + CHOOSE(CONTROL!$C$28, 0, 0)</f>
        <v>270.36343814713098</v>
      </c>
    </row>
    <row r="445" spans="1:5" ht="15">
      <c r="A445" s="13">
        <v>55061</v>
      </c>
      <c r="B445" s="4">
        <f>42.6982 * CHOOSE(CONTROL!$C$9, $C$13, 100%, $E$13) + CHOOSE(CONTROL!$C$28, 0.0311, 0)</f>
        <v>42.729300000000002</v>
      </c>
      <c r="C445" s="4">
        <f>42.3349 * CHOOSE(CONTROL!$C$9, $C$13, 100%, $E$13) + CHOOSE(CONTROL!$C$28, 0.0311, 0)</f>
        <v>42.366</v>
      </c>
      <c r="D445" s="4">
        <f>49.646 * CHOOSE(CONTROL!$C$9, $C$13, 100%, $E$13) + CHOOSE(CONTROL!$C$28, 0, 0)</f>
        <v>49.646000000000001</v>
      </c>
      <c r="E445" s="4">
        <f>259.589225161077 * CHOOSE(CONTROL!$C$9, $C$13, 100%, $E$13) + CHOOSE(CONTROL!$C$28, 0, 0)</f>
        <v>259.58922516107702</v>
      </c>
    </row>
    <row r="446" spans="1:5" ht="15">
      <c r="A446" s="13">
        <v>55092</v>
      </c>
      <c r="B446" s="4">
        <f>41.3052 * CHOOSE(CONTROL!$C$9, $C$13, 100%, $E$13) + CHOOSE(CONTROL!$C$28, 0.0003, 0)</f>
        <v>41.305500000000002</v>
      </c>
      <c r="C446" s="4">
        <f>40.942 * CHOOSE(CONTROL!$C$9, $C$13, 100%, $E$13) + CHOOSE(CONTROL!$C$28, 0.0003, 0)</f>
        <v>40.942300000000003</v>
      </c>
      <c r="D446" s="4">
        <f>48.9875 * CHOOSE(CONTROL!$C$9, $C$13, 100%, $E$13) + CHOOSE(CONTROL!$C$28, 0, 0)</f>
        <v>48.987499999999997</v>
      </c>
      <c r="E446" s="4">
        <f>250.964254141701 * CHOOSE(CONTROL!$C$9, $C$13, 100%, $E$13) + CHOOSE(CONTROL!$C$28, 0, 0)</f>
        <v>250.96425414170099</v>
      </c>
    </row>
    <row r="447" spans="1:5" ht="15">
      <c r="A447" s="13">
        <v>55122</v>
      </c>
      <c r="B447" s="4">
        <f>40.4081 * CHOOSE(CONTROL!$C$9, $C$13, 100%, $E$13) + CHOOSE(CONTROL!$C$28, 0.0003, 0)</f>
        <v>40.4084</v>
      </c>
      <c r="C447" s="4">
        <f>40.0448 * CHOOSE(CONTROL!$C$9, $C$13, 100%, $E$13) + CHOOSE(CONTROL!$C$28, 0.0003, 0)</f>
        <v>40.045100000000005</v>
      </c>
      <c r="D447" s="4">
        <f>48.7611 * CHOOSE(CONTROL!$C$9, $C$13, 100%, $E$13) + CHOOSE(CONTROL!$C$28, 0, 0)</f>
        <v>48.761099999999999</v>
      </c>
      <c r="E447" s="4">
        <f>245.409128732712 * CHOOSE(CONTROL!$C$9, $C$13, 100%, $E$13) + CHOOSE(CONTROL!$C$28, 0, 0)</f>
        <v>245.40912873271199</v>
      </c>
    </row>
    <row r="448" spans="1:5" ht="15">
      <c r="A448" s="13">
        <v>55153</v>
      </c>
      <c r="B448" s="4">
        <f>39.7873 * CHOOSE(CONTROL!$C$9, $C$13, 100%, $E$13) + CHOOSE(CONTROL!$C$28, 0.0003, 0)</f>
        <v>39.787600000000005</v>
      </c>
      <c r="C448" s="4">
        <f>39.4241 * CHOOSE(CONTROL!$C$9, $C$13, 100%, $E$13) + CHOOSE(CONTROL!$C$28, 0.0003, 0)</f>
        <v>39.424400000000006</v>
      </c>
      <c r="D448" s="4">
        <f>47.0942 * CHOOSE(CONTROL!$C$9, $C$13, 100%, $E$13) + CHOOSE(CONTROL!$C$28, 0, 0)</f>
        <v>47.094200000000001</v>
      </c>
      <c r="E448" s="4">
        <f>241.565696030084 * CHOOSE(CONTROL!$C$9, $C$13, 100%, $E$13) + CHOOSE(CONTROL!$C$28, 0, 0)</f>
        <v>241.56569603008401</v>
      </c>
    </row>
    <row r="449" spans="1:5" ht="15">
      <c r="A449" s="13">
        <v>55184</v>
      </c>
      <c r="B449" s="4">
        <f>38.7788 * CHOOSE(CONTROL!$C$9, $C$13, 100%, $E$13) + CHOOSE(CONTROL!$C$28, 0.0003, 0)</f>
        <v>38.7791</v>
      </c>
      <c r="C449" s="4">
        <f>38.4155 * CHOOSE(CONTROL!$C$9, $C$13, 100%, $E$13) + CHOOSE(CONTROL!$C$28, 0.0003, 0)</f>
        <v>38.415800000000004</v>
      </c>
      <c r="D449" s="4">
        <f>45.5622 * CHOOSE(CONTROL!$C$9, $C$13, 100%, $E$13) + CHOOSE(CONTROL!$C$28, 0, 0)</f>
        <v>45.562199999999997</v>
      </c>
      <c r="E449" s="4">
        <f>234.638512401577 * CHOOSE(CONTROL!$C$9, $C$13, 100%, $E$13) + CHOOSE(CONTROL!$C$28, 0, 0)</f>
        <v>234.638512401577</v>
      </c>
    </row>
    <row r="450" spans="1:5" ht="15">
      <c r="A450" s="13">
        <v>55212</v>
      </c>
      <c r="B450" s="4">
        <f>39.6812 * CHOOSE(CONTROL!$C$9, $C$13, 100%, $E$13) + CHOOSE(CONTROL!$C$28, 0.0003, 0)</f>
        <v>39.6815</v>
      </c>
      <c r="C450" s="4">
        <f>39.3179 * CHOOSE(CONTROL!$C$9, $C$13, 100%, $E$13) + CHOOSE(CONTROL!$C$28, 0.0003, 0)</f>
        <v>39.318200000000004</v>
      </c>
      <c r="D450" s="4">
        <f>47.1049 * CHOOSE(CONTROL!$C$9, $C$13, 100%, $E$13) + CHOOSE(CONTROL!$C$28, 0, 0)</f>
        <v>47.104900000000001</v>
      </c>
      <c r="E450" s="4">
        <f>240.209755375119 * CHOOSE(CONTROL!$C$9, $C$13, 100%, $E$13) + CHOOSE(CONTROL!$C$28, 0, 0)</f>
        <v>240.20975537511899</v>
      </c>
    </row>
    <row r="451" spans="1:5" ht="15">
      <c r="A451" s="13">
        <v>55243</v>
      </c>
      <c r="B451" s="4">
        <f>42.0509 * CHOOSE(CONTROL!$C$9, $C$13, 100%, $E$13) + CHOOSE(CONTROL!$C$28, 0.0003, 0)</f>
        <v>42.051200000000001</v>
      </c>
      <c r="C451" s="4">
        <f>41.6876 * CHOOSE(CONTROL!$C$9, $C$13, 100%, $E$13) + CHOOSE(CONTROL!$C$28, 0.0003, 0)</f>
        <v>41.687900000000006</v>
      </c>
      <c r="D451" s="4">
        <f>49.5199 * CHOOSE(CONTROL!$C$9, $C$13, 100%, $E$13) + CHOOSE(CONTROL!$C$28, 0, 0)</f>
        <v>49.5199</v>
      </c>
      <c r="E451" s="4">
        <f>254.840135497474 * CHOOSE(CONTROL!$C$9, $C$13, 100%, $E$13) + CHOOSE(CONTROL!$C$28, 0, 0)</f>
        <v>254.84013549747399</v>
      </c>
    </row>
    <row r="452" spans="1:5" ht="15">
      <c r="A452" s="13">
        <v>55273</v>
      </c>
      <c r="B452" s="4">
        <f>43.7347 * CHOOSE(CONTROL!$C$9, $C$13, 100%, $E$13) + CHOOSE(CONTROL!$C$28, 0.0003, 0)</f>
        <v>43.734999999999999</v>
      </c>
      <c r="C452" s="4">
        <f>43.3714 * CHOOSE(CONTROL!$C$9, $C$13, 100%, $E$13) + CHOOSE(CONTROL!$C$28, 0.0003, 0)</f>
        <v>43.371700000000004</v>
      </c>
      <c r="D452" s="4">
        <f>50.9111 * CHOOSE(CONTROL!$C$9, $C$13, 100%, $E$13) + CHOOSE(CONTROL!$C$28, 0, 0)</f>
        <v>50.911099999999998</v>
      </c>
      <c r="E452" s="4">
        <f>265.235215549857 * CHOOSE(CONTROL!$C$9, $C$13, 100%, $E$13) + CHOOSE(CONTROL!$C$28, 0, 0)</f>
        <v>265.235215549857</v>
      </c>
    </row>
    <row r="453" spans="1:5" ht="15">
      <c r="A453" s="13">
        <v>55304</v>
      </c>
      <c r="B453" s="4">
        <f>44.7634 * CHOOSE(CONTROL!$C$9, $C$13, 100%, $E$13) + CHOOSE(CONTROL!$C$28, 0.0311, 0)</f>
        <v>44.794499999999999</v>
      </c>
      <c r="C453" s="4">
        <f>44.4001 * CHOOSE(CONTROL!$C$9, $C$13, 100%, $E$13) + CHOOSE(CONTROL!$C$28, 0.0311, 0)</f>
        <v>44.431200000000004</v>
      </c>
      <c r="D453" s="4">
        <f>50.3614 * CHOOSE(CONTROL!$C$9, $C$13, 100%, $E$13) + CHOOSE(CONTROL!$C$28, 0, 0)</f>
        <v>50.361400000000003</v>
      </c>
      <c r="E453" s="4">
        <f>271.586360326565 * CHOOSE(CONTROL!$C$9, $C$13, 100%, $E$13) + CHOOSE(CONTROL!$C$28, 0, 0)</f>
        <v>271.586360326565</v>
      </c>
    </row>
    <row r="454" spans="1:5" ht="15">
      <c r="A454" s="13">
        <v>55334</v>
      </c>
      <c r="B454" s="4">
        <f>44.9026 * CHOOSE(CONTROL!$C$9, $C$13, 100%, $E$13) + CHOOSE(CONTROL!$C$28, 0.0311, 0)</f>
        <v>44.933700000000002</v>
      </c>
      <c r="C454" s="4">
        <f>44.5393 * CHOOSE(CONTROL!$C$9, $C$13, 100%, $E$13) + CHOOSE(CONTROL!$C$28, 0.0311, 0)</f>
        <v>44.570399999999999</v>
      </c>
      <c r="D454" s="4">
        <f>50.809 * CHOOSE(CONTROL!$C$9, $C$13, 100%, $E$13) + CHOOSE(CONTROL!$C$28, 0, 0)</f>
        <v>50.808999999999997</v>
      </c>
      <c r="E454" s="4">
        <f>272.445696572646 * CHOOSE(CONTROL!$C$9, $C$13, 100%, $E$13) + CHOOSE(CONTROL!$C$28, 0, 0)</f>
        <v>272.445696572646</v>
      </c>
    </row>
    <row r="455" spans="1:5" ht="15">
      <c r="A455" s="13">
        <v>55365</v>
      </c>
      <c r="B455" s="4">
        <f>44.8885 * CHOOSE(CONTROL!$C$9, $C$13, 100%, $E$13) + CHOOSE(CONTROL!$C$28, 0.0311, 0)</f>
        <v>44.919600000000003</v>
      </c>
      <c r="C455" s="4">
        <f>44.5252 * CHOOSE(CONTROL!$C$9, $C$13, 100%, $E$13) + CHOOSE(CONTROL!$C$28, 0.0311, 0)</f>
        <v>44.5563</v>
      </c>
      <c r="D455" s="4">
        <f>51.6168 * CHOOSE(CONTROL!$C$9, $C$13, 100%, $E$13) + CHOOSE(CONTROL!$C$28, 0, 0)</f>
        <v>51.616799999999998</v>
      </c>
      <c r="E455" s="4">
        <f>272.359040816739 * CHOOSE(CONTROL!$C$9, $C$13, 100%, $E$13) + CHOOSE(CONTROL!$C$28, 0, 0)</f>
        <v>272.35904081673903</v>
      </c>
    </row>
    <row r="456" spans="1:5" ht="15">
      <c r="A456" s="13">
        <v>55396</v>
      </c>
      <c r="B456" s="4">
        <f>45.9447 * CHOOSE(CONTROL!$C$9, $C$13, 100%, $E$13) + CHOOSE(CONTROL!$C$28, 0.0311, 0)</f>
        <v>45.9758</v>
      </c>
      <c r="C456" s="4">
        <f>45.5815 * CHOOSE(CONTROL!$C$9, $C$13, 100%, $E$13) + CHOOSE(CONTROL!$C$28, 0.0311, 0)</f>
        <v>45.6126</v>
      </c>
      <c r="D456" s="4">
        <f>51.0834 * CHOOSE(CONTROL!$C$9, $C$13, 100%, $E$13) + CHOOSE(CONTROL!$C$28, 0, 0)</f>
        <v>51.083399999999997</v>
      </c>
      <c r="E456" s="4">
        <f>278.879886448766 * CHOOSE(CONTROL!$C$9, $C$13, 100%, $E$13) + CHOOSE(CONTROL!$C$28, 0, 0)</f>
        <v>278.879886448766</v>
      </c>
    </row>
    <row r="457" spans="1:5" ht="15">
      <c r="A457" s="13">
        <v>55426</v>
      </c>
      <c r="B457" s="4">
        <f>44.1446 * CHOOSE(CONTROL!$C$9, $C$13, 100%, $E$13) + CHOOSE(CONTROL!$C$28, 0.0311, 0)</f>
        <v>44.175699999999999</v>
      </c>
      <c r="C457" s="4">
        <f>43.7813 * CHOOSE(CONTROL!$C$9, $C$13, 100%, $E$13) + CHOOSE(CONTROL!$C$28, 0.0311, 0)</f>
        <v>43.812400000000004</v>
      </c>
      <c r="D457" s="4">
        <f>50.8313 * CHOOSE(CONTROL!$C$9, $C$13, 100%, $E$13) + CHOOSE(CONTROL!$C$28, 0, 0)</f>
        <v>50.831299999999999</v>
      </c>
      <c r="E457" s="4">
        <f>267.766285753651 * CHOOSE(CONTROL!$C$9, $C$13, 100%, $E$13) + CHOOSE(CONTROL!$C$28, 0, 0)</f>
        <v>267.766285753651</v>
      </c>
    </row>
    <row r="458" spans="1:5" ht="15">
      <c r="A458" s="13">
        <v>55457</v>
      </c>
      <c r="B458" s="4">
        <f>42.7036 * CHOOSE(CONTROL!$C$9, $C$13, 100%, $E$13) + CHOOSE(CONTROL!$C$28, 0.0003, 0)</f>
        <v>42.703900000000004</v>
      </c>
      <c r="C458" s="4">
        <f>42.3403 * CHOOSE(CONTROL!$C$9, $C$13, 100%, $E$13) + CHOOSE(CONTROL!$C$28, 0.0003, 0)</f>
        <v>42.340600000000002</v>
      </c>
      <c r="D458" s="4">
        <f>50.1564 * CHOOSE(CONTROL!$C$9, $C$13, 100%, $E$13) + CHOOSE(CONTROL!$C$28, 0, 0)</f>
        <v>50.156399999999998</v>
      </c>
      <c r="E458" s="4">
        <f>258.869628147165 * CHOOSE(CONTROL!$C$9, $C$13, 100%, $E$13) + CHOOSE(CONTROL!$C$28, 0, 0)</f>
        <v>258.86962814716497</v>
      </c>
    </row>
    <row r="459" spans="1:5" ht="15">
      <c r="A459" s="13">
        <v>55487</v>
      </c>
      <c r="B459" s="4">
        <f>41.7755 * CHOOSE(CONTROL!$C$9, $C$13, 100%, $E$13) + CHOOSE(CONTROL!$C$28, 0.0003, 0)</f>
        <v>41.775800000000004</v>
      </c>
      <c r="C459" s="4">
        <f>41.4122 * CHOOSE(CONTROL!$C$9, $C$13, 100%, $E$13) + CHOOSE(CONTROL!$C$28, 0.0003, 0)</f>
        <v>41.412500000000001</v>
      </c>
      <c r="D459" s="4">
        <f>49.9244 * CHOOSE(CONTROL!$C$9, $C$13, 100%, $E$13) + CHOOSE(CONTROL!$C$28, 0, 0)</f>
        <v>49.924399999999999</v>
      </c>
      <c r="E459" s="4">
        <f>253.139516287792 * CHOOSE(CONTROL!$C$9, $C$13, 100%, $E$13) + CHOOSE(CONTROL!$C$28, 0, 0)</f>
        <v>253.13951628779199</v>
      </c>
    </row>
    <row r="460" spans="1:5" ht="15">
      <c r="A460" s="13">
        <v>55518</v>
      </c>
      <c r="B460" s="4">
        <f>41.1333 * CHOOSE(CONTROL!$C$9, $C$13, 100%, $E$13) + CHOOSE(CONTROL!$C$28, 0.0003, 0)</f>
        <v>41.133600000000001</v>
      </c>
      <c r="C460" s="4">
        <f>40.77 * CHOOSE(CONTROL!$C$9, $C$13, 100%, $E$13) + CHOOSE(CONTROL!$C$28, 0.0003, 0)</f>
        <v>40.770300000000006</v>
      </c>
      <c r="D460" s="4">
        <f>48.2162 * CHOOSE(CONTROL!$C$9, $C$13, 100%, $E$13) + CHOOSE(CONTROL!$C$28, 0, 0)</f>
        <v>48.216200000000001</v>
      </c>
      <c r="E460" s="4">
        <f>249.175015455032 * CHOOSE(CONTROL!$C$9, $C$13, 100%, $E$13) + CHOOSE(CONTROL!$C$28, 0, 0)</f>
        <v>249.175015455032</v>
      </c>
    </row>
    <row r="461" spans="1:5" ht="15">
      <c r="A461" s="13">
        <v>55549</v>
      </c>
      <c r="B461" s="4">
        <f>40.09 * CHOOSE(CONTROL!$C$9, $C$13, 100%, $E$13) + CHOOSE(CONTROL!$C$28, 0.0003, 0)</f>
        <v>40.090300000000006</v>
      </c>
      <c r="C461" s="4">
        <f>39.7267 * CHOOSE(CONTROL!$C$9, $C$13, 100%, $E$13) + CHOOSE(CONTROL!$C$28, 0.0003, 0)</f>
        <v>39.727000000000004</v>
      </c>
      <c r="D461" s="4">
        <f>46.6462 * CHOOSE(CONTROL!$C$9, $C$13, 100%, $E$13) + CHOOSE(CONTROL!$C$28, 0, 0)</f>
        <v>46.6462</v>
      </c>
      <c r="E461" s="4">
        <f>242.029625542227 * CHOOSE(CONTROL!$C$9, $C$13, 100%, $E$13) + CHOOSE(CONTROL!$C$28, 0, 0)</f>
        <v>242.029625542227</v>
      </c>
    </row>
    <row r="462" spans="1:5" ht="15">
      <c r="A462" s="13">
        <v>55577</v>
      </c>
      <c r="B462" s="4">
        <f>41.0235 * CHOOSE(CONTROL!$C$9, $C$13, 100%, $E$13) + CHOOSE(CONTROL!$C$28, 0.0003, 0)</f>
        <v>41.023800000000001</v>
      </c>
      <c r="C462" s="4">
        <f>40.6602 * CHOOSE(CONTROL!$C$9, $C$13, 100%, $E$13) + CHOOSE(CONTROL!$C$28, 0.0003, 0)</f>
        <v>40.660500000000006</v>
      </c>
      <c r="D462" s="4">
        <f>48.2272 * CHOOSE(CONTROL!$C$9, $C$13, 100%, $E$13) + CHOOSE(CONTROL!$C$28, 0, 0)</f>
        <v>48.227200000000003</v>
      </c>
      <c r="E462" s="4">
        <f>247.776362669436 * CHOOSE(CONTROL!$C$9, $C$13, 100%, $E$13) + CHOOSE(CONTROL!$C$28, 0, 0)</f>
        <v>247.776362669436</v>
      </c>
    </row>
    <row r="463" spans="1:5" ht="15">
      <c r="A463" s="13">
        <v>55609</v>
      </c>
      <c r="B463" s="4">
        <f>43.475 * CHOOSE(CONTROL!$C$9, $C$13, 100%, $E$13) + CHOOSE(CONTROL!$C$28, 0.0003, 0)</f>
        <v>43.475300000000004</v>
      </c>
      <c r="C463" s="4">
        <f>43.1117 * CHOOSE(CONTROL!$C$9, $C$13, 100%, $E$13) + CHOOSE(CONTROL!$C$28, 0.0003, 0)</f>
        <v>43.112000000000002</v>
      </c>
      <c r="D463" s="4">
        <f>50.7021 * CHOOSE(CONTROL!$C$9, $C$13, 100%, $E$13) + CHOOSE(CONTROL!$C$28, 0, 0)</f>
        <v>50.702100000000002</v>
      </c>
      <c r="E463" s="4">
        <f>262.867599765644 * CHOOSE(CONTROL!$C$9, $C$13, 100%, $E$13) + CHOOSE(CONTROL!$C$28, 0, 0)</f>
        <v>262.867599765644</v>
      </c>
    </row>
    <row r="464" spans="1:5" ht="15">
      <c r="A464" s="13">
        <v>55639</v>
      </c>
      <c r="B464" s="4">
        <f>45.2168 * CHOOSE(CONTROL!$C$9, $C$13, 100%, $E$13) + CHOOSE(CONTROL!$C$28, 0.0003, 0)</f>
        <v>45.217100000000002</v>
      </c>
      <c r="C464" s="4">
        <f>44.8535 * CHOOSE(CONTROL!$C$9, $C$13, 100%, $E$13) + CHOOSE(CONTROL!$C$28, 0.0003, 0)</f>
        <v>44.8538</v>
      </c>
      <c r="D464" s="4">
        <f>52.1277 * CHOOSE(CONTROL!$C$9, $C$13, 100%, $E$13) + CHOOSE(CONTROL!$C$28, 0, 0)</f>
        <v>52.127699999999997</v>
      </c>
      <c r="E464" s="4">
        <f>273.590124839678 * CHOOSE(CONTROL!$C$9, $C$13, 100%, $E$13) + CHOOSE(CONTROL!$C$28, 0, 0)</f>
        <v>273.59012483967803</v>
      </c>
    </row>
    <row r="465" spans="1:5" ht="15">
      <c r="A465" s="13">
        <v>55670</v>
      </c>
      <c r="B465" s="4">
        <f>46.281 * CHOOSE(CONTROL!$C$9, $C$13, 100%, $E$13) + CHOOSE(CONTROL!$C$28, 0.0311, 0)</f>
        <v>46.312100000000001</v>
      </c>
      <c r="C465" s="4">
        <f>45.9177 * CHOOSE(CONTROL!$C$9, $C$13, 100%, $E$13) + CHOOSE(CONTROL!$C$28, 0.0311, 0)</f>
        <v>45.948800000000006</v>
      </c>
      <c r="D465" s="4">
        <f>51.5644 * CHOOSE(CONTROL!$C$9, $C$13, 100%, $E$13) + CHOOSE(CONTROL!$C$28, 0, 0)</f>
        <v>51.564399999999999</v>
      </c>
      <c r="E465" s="4">
        <f>280.141330676852 * CHOOSE(CONTROL!$C$9, $C$13, 100%, $E$13) + CHOOSE(CONTROL!$C$28, 0, 0)</f>
        <v>280.14133067685202</v>
      </c>
    </row>
    <row r="466" spans="1:5" ht="15">
      <c r="A466" s="13">
        <v>55700</v>
      </c>
      <c r="B466" s="4">
        <f>46.425 * CHOOSE(CONTROL!$C$9, $C$13, 100%, $E$13) + CHOOSE(CONTROL!$C$28, 0.0311, 0)</f>
        <v>46.456099999999999</v>
      </c>
      <c r="C466" s="4">
        <f>46.0617 * CHOOSE(CONTROL!$C$9, $C$13, 100%, $E$13) + CHOOSE(CONTROL!$C$28, 0.0311, 0)</f>
        <v>46.092800000000004</v>
      </c>
      <c r="D466" s="4">
        <f>52.0232 * CHOOSE(CONTROL!$C$9, $C$13, 100%, $E$13) + CHOOSE(CONTROL!$C$28, 0, 0)</f>
        <v>52.023200000000003</v>
      </c>
      <c r="E466" s="4">
        <f>281.027736014685 * CHOOSE(CONTROL!$C$9, $C$13, 100%, $E$13) + CHOOSE(CONTROL!$C$28, 0, 0)</f>
        <v>281.02773601468499</v>
      </c>
    </row>
    <row r="467" spans="1:5" ht="15">
      <c r="A467" s="13">
        <v>55731</v>
      </c>
      <c r="B467" s="4">
        <f>46.4105 * CHOOSE(CONTROL!$C$9, $C$13, 100%, $E$13) + CHOOSE(CONTROL!$C$28, 0.0311, 0)</f>
        <v>46.441600000000001</v>
      </c>
      <c r="C467" s="4">
        <f>46.0472 * CHOOSE(CONTROL!$C$9, $C$13, 100%, $E$13) + CHOOSE(CONTROL!$C$28, 0.0311, 0)</f>
        <v>46.078299999999999</v>
      </c>
      <c r="D467" s="4">
        <f>52.851 * CHOOSE(CONTROL!$C$9, $C$13, 100%, $E$13) + CHOOSE(CONTROL!$C$28, 0, 0)</f>
        <v>52.850999999999999</v>
      </c>
      <c r="E467" s="4">
        <f>280.938350602466 * CHOOSE(CONTROL!$C$9, $C$13, 100%, $E$13) + CHOOSE(CONTROL!$C$28, 0, 0)</f>
        <v>280.93835060246602</v>
      </c>
    </row>
    <row r="468" spans="1:5" ht="15">
      <c r="A468" s="13">
        <v>55762</v>
      </c>
      <c r="B468" s="4">
        <f>47.5031 * CHOOSE(CONTROL!$C$9, $C$13, 100%, $E$13) + CHOOSE(CONTROL!$C$28, 0.0311, 0)</f>
        <v>47.534200000000006</v>
      </c>
      <c r="C468" s="4">
        <f>47.1399 * CHOOSE(CONTROL!$C$9, $C$13, 100%, $E$13) + CHOOSE(CONTROL!$C$28, 0.0311, 0)</f>
        <v>47.170999999999999</v>
      </c>
      <c r="D468" s="4">
        <f>52.3043 * CHOOSE(CONTROL!$C$9, $C$13, 100%, $E$13) + CHOOSE(CONTROL!$C$28, 0, 0)</f>
        <v>52.304299999999998</v>
      </c>
      <c r="E468" s="4">
        <f>287.664602871902 * CHOOSE(CONTROL!$C$9, $C$13, 100%, $E$13) + CHOOSE(CONTROL!$C$28, 0, 0)</f>
        <v>287.66460287190199</v>
      </c>
    </row>
    <row r="469" spans="1:5" ht="15">
      <c r="A469" s="13">
        <v>55792</v>
      </c>
      <c r="B469" s="4">
        <f>45.6409 * CHOOSE(CONTROL!$C$9, $C$13, 100%, $E$13) + CHOOSE(CONTROL!$C$28, 0.0311, 0)</f>
        <v>45.672000000000004</v>
      </c>
      <c r="C469" s="4">
        <f>45.2776 * CHOOSE(CONTROL!$C$9, $C$13, 100%, $E$13) + CHOOSE(CONTROL!$C$28, 0.0311, 0)</f>
        <v>45.308700000000002</v>
      </c>
      <c r="D469" s="4">
        <f>52.046 * CHOOSE(CONTROL!$C$9, $C$13, 100%, $E$13) + CHOOSE(CONTROL!$C$28, 0, 0)</f>
        <v>52.045999999999999</v>
      </c>
      <c r="E469" s="4">
        <f>276.200923754891 * CHOOSE(CONTROL!$C$9, $C$13, 100%, $E$13) + CHOOSE(CONTROL!$C$28, 0, 0)</f>
        <v>276.20092375489099</v>
      </c>
    </row>
    <row r="470" spans="1:5" ht="15">
      <c r="A470" s="13">
        <v>55823</v>
      </c>
      <c r="B470" s="4">
        <f>44.1502 * CHOOSE(CONTROL!$C$9, $C$13, 100%, $E$13) + CHOOSE(CONTROL!$C$28, 0.0003, 0)</f>
        <v>44.150500000000001</v>
      </c>
      <c r="C470" s="4">
        <f>43.7869 * CHOOSE(CONTROL!$C$9, $C$13, 100%, $E$13) + CHOOSE(CONTROL!$C$28, 0.0003, 0)</f>
        <v>43.787200000000006</v>
      </c>
      <c r="D470" s="4">
        <f>51.3544 * CHOOSE(CONTROL!$C$9, $C$13, 100%, $E$13) + CHOOSE(CONTROL!$C$28, 0, 0)</f>
        <v>51.354399999999998</v>
      </c>
      <c r="E470" s="4">
        <f>267.0240214338 * CHOOSE(CONTROL!$C$9, $C$13, 100%, $E$13) + CHOOSE(CONTROL!$C$28, 0, 0)</f>
        <v>267.02402143379999</v>
      </c>
    </row>
    <row r="471" spans="1:5" ht="15">
      <c r="A471" s="13">
        <v>55853</v>
      </c>
      <c r="B471" s="4">
        <f>43.19 * CHOOSE(CONTROL!$C$9, $C$13, 100%, $E$13) + CHOOSE(CONTROL!$C$28, 0.0003, 0)</f>
        <v>43.190300000000001</v>
      </c>
      <c r="C471" s="4">
        <f>42.8268 * CHOOSE(CONTROL!$C$9, $C$13, 100%, $E$13) + CHOOSE(CONTROL!$C$28, 0.0003, 0)</f>
        <v>42.827100000000002</v>
      </c>
      <c r="D471" s="4">
        <f>51.1166 * CHOOSE(CONTROL!$C$9, $C$13, 100%, $E$13) + CHOOSE(CONTROL!$C$28, 0, 0)</f>
        <v>51.116599999999998</v>
      </c>
      <c r="E471" s="4">
        <f>261.113411050858 * CHOOSE(CONTROL!$C$9, $C$13, 100%, $E$13) + CHOOSE(CONTROL!$C$28, 0, 0)</f>
        <v>261.11341105085802</v>
      </c>
    </row>
    <row r="472" spans="1:5" ht="15">
      <c r="A472" s="13">
        <v>55884</v>
      </c>
      <c r="B472" s="4">
        <f>42.5257 * CHOOSE(CONTROL!$C$9, $C$13, 100%, $E$13) + CHOOSE(CONTROL!$C$28, 0.0003, 0)</f>
        <v>42.526000000000003</v>
      </c>
      <c r="C472" s="4">
        <f>42.1625 * CHOOSE(CONTROL!$C$9, $C$13, 100%, $E$13) + CHOOSE(CONTROL!$C$28, 0.0003, 0)</f>
        <v>42.162800000000004</v>
      </c>
      <c r="D472" s="4">
        <f>49.3661 * CHOOSE(CONTROL!$C$9, $C$13, 100%, $E$13) + CHOOSE(CONTROL!$C$28, 0, 0)</f>
        <v>49.366100000000003</v>
      </c>
      <c r="E472" s="4">
        <f>257.024028441866 * CHOOSE(CONTROL!$C$9, $C$13, 100%, $E$13) + CHOOSE(CONTROL!$C$28, 0, 0)</f>
        <v>257.02402844186599</v>
      </c>
    </row>
    <row r="473" spans="1:5" ht="15">
      <c r="A473" s="13">
        <v>55915</v>
      </c>
      <c r="B473" s="4">
        <f>41.4464 * CHOOSE(CONTROL!$C$9, $C$13, 100%, $E$13) + CHOOSE(CONTROL!$C$28, 0.0003, 0)</f>
        <v>41.4467</v>
      </c>
      <c r="C473" s="4">
        <f>41.0831 * CHOOSE(CONTROL!$C$9, $C$13, 100%, $E$13) + CHOOSE(CONTROL!$C$28, 0.0003, 0)</f>
        <v>41.083400000000005</v>
      </c>
      <c r="D473" s="4">
        <f>47.7571 * CHOOSE(CONTROL!$C$9, $C$13, 100%, $E$13) + CHOOSE(CONTROL!$C$28, 0, 0)</f>
        <v>47.757100000000001</v>
      </c>
      <c r="E473" s="4">
        <f>249.653558746807 * CHOOSE(CONTROL!$C$9, $C$13, 100%, $E$13) + CHOOSE(CONTROL!$C$28, 0, 0)</f>
        <v>249.65355874680699</v>
      </c>
    </row>
    <row r="474" spans="1:5" ht="15">
      <c r="A474" s="13">
        <v>55943</v>
      </c>
      <c r="B474" s="4">
        <f>42.4121 * CHOOSE(CONTROL!$C$9, $C$13, 100%, $E$13) + CHOOSE(CONTROL!$C$28, 0.0003, 0)</f>
        <v>42.412400000000005</v>
      </c>
      <c r="C474" s="4">
        <f>42.0488 * CHOOSE(CONTROL!$C$9, $C$13, 100%, $E$13) + CHOOSE(CONTROL!$C$28, 0.0003, 0)</f>
        <v>42.049100000000003</v>
      </c>
      <c r="D474" s="4">
        <f>49.3773 * CHOOSE(CONTROL!$C$9, $C$13, 100%, $E$13) + CHOOSE(CONTROL!$C$28, 0, 0)</f>
        <v>49.377299999999998</v>
      </c>
      <c r="E474" s="4">
        <f>255.581318093523 * CHOOSE(CONTROL!$C$9, $C$13, 100%, $E$13) + CHOOSE(CONTROL!$C$28, 0, 0)</f>
        <v>255.58131809352301</v>
      </c>
    </row>
    <row r="475" spans="1:5" ht="15">
      <c r="A475" s="13">
        <v>55974</v>
      </c>
      <c r="B475" s="4">
        <f>44.9482 * CHOOSE(CONTROL!$C$9, $C$13, 100%, $E$13) + CHOOSE(CONTROL!$C$28, 0.0003, 0)</f>
        <v>44.948500000000003</v>
      </c>
      <c r="C475" s="4">
        <f>44.5849 * CHOOSE(CONTROL!$C$9, $C$13, 100%, $E$13) + CHOOSE(CONTROL!$C$28, 0.0003, 0)</f>
        <v>44.5852</v>
      </c>
      <c r="D475" s="4">
        <f>51.9136 * CHOOSE(CONTROL!$C$9, $C$13, 100%, $E$13) + CHOOSE(CONTROL!$C$28, 0, 0)</f>
        <v>51.913600000000002</v>
      </c>
      <c r="E475" s="4">
        <f>271.147929158262 * CHOOSE(CONTROL!$C$9, $C$13, 100%, $E$13) + CHOOSE(CONTROL!$C$28, 0, 0)</f>
        <v>271.147929158262</v>
      </c>
    </row>
    <row r="476" spans="1:5" ht="15">
      <c r="A476" s="13">
        <v>56004</v>
      </c>
      <c r="B476" s="4">
        <f>46.7501 * CHOOSE(CONTROL!$C$9, $C$13, 100%, $E$13) + CHOOSE(CONTROL!$C$28, 0.0003, 0)</f>
        <v>46.750400000000006</v>
      </c>
      <c r="C476" s="4">
        <f>46.3868 * CHOOSE(CONTROL!$C$9, $C$13, 100%, $E$13) + CHOOSE(CONTROL!$C$28, 0.0003, 0)</f>
        <v>46.387100000000004</v>
      </c>
      <c r="D476" s="4">
        <f>53.3746 * CHOOSE(CONTROL!$C$9, $C$13, 100%, $E$13) + CHOOSE(CONTROL!$C$28, 0, 0)</f>
        <v>53.374600000000001</v>
      </c>
      <c r="E476" s="4">
        <f>282.208213772128 * CHOOSE(CONTROL!$C$9, $C$13, 100%, $E$13) + CHOOSE(CONTROL!$C$28, 0, 0)</f>
        <v>282.20821377212798</v>
      </c>
    </row>
    <row r="477" spans="1:5" ht="15">
      <c r="A477" s="13">
        <v>56035</v>
      </c>
      <c r="B477" s="4">
        <f>47.851 * CHOOSE(CONTROL!$C$9, $C$13, 100%, $E$13) + CHOOSE(CONTROL!$C$28, 0.0311, 0)</f>
        <v>47.882100000000001</v>
      </c>
      <c r="C477" s="4">
        <f>47.4878 * CHOOSE(CONTROL!$C$9, $C$13, 100%, $E$13) + CHOOSE(CONTROL!$C$28, 0.0311, 0)</f>
        <v>47.518900000000002</v>
      </c>
      <c r="D477" s="4">
        <f>52.7973 * CHOOSE(CONTROL!$C$9, $C$13, 100%, $E$13) + CHOOSE(CONTROL!$C$28, 0, 0)</f>
        <v>52.7973</v>
      </c>
      <c r="E477" s="4">
        <f>288.965782593173 * CHOOSE(CONTROL!$C$9, $C$13, 100%, $E$13) + CHOOSE(CONTROL!$C$28, 0, 0)</f>
        <v>288.965782593173</v>
      </c>
    </row>
    <row r="478" spans="1:5" ht="15">
      <c r="A478" s="13">
        <v>56065</v>
      </c>
      <c r="B478" s="4">
        <f>48 * CHOOSE(CONTROL!$C$9, $C$13, 100%, $E$13) + CHOOSE(CONTROL!$C$28, 0.0311, 0)</f>
        <v>48.031100000000002</v>
      </c>
      <c r="C478" s="4">
        <f>47.6367 * CHOOSE(CONTROL!$C$9, $C$13, 100%, $E$13) + CHOOSE(CONTROL!$C$28, 0.0311, 0)</f>
        <v>47.6678</v>
      </c>
      <c r="D478" s="4">
        <f>53.2674 * CHOOSE(CONTROL!$C$9, $C$13, 100%, $E$13) + CHOOSE(CONTROL!$C$28, 0, 0)</f>
        <v>53.267400000000002</v>
      </c>
      <c r="E478" s="4">
        <f>289.880109699147 * CHOOSE(CONTROL!$C$9, $C$13, 100%, $E$13) + CHOOSE(CONTROL!$C$28, 0, 0)</f>
        <v>289.880109699147</v>
      </c>
    </row>
    <row r="479" spans="1:5" ht="15">
      <c r="A479" s="13">
        <v>56096</v>
      </c>
      <c r="B479" s="4">
        <f>47.985 * CHOOSE(CONTROL!$C$9, $C$13, 100%, $E$13) + CHOOSE(CONTROL!$C$28, 0.0311, 0)</f>
        <v>48.016100000000002</v>
      </c>
      <c r="C479" s="4">
        <f>47.6217 * CHOOSE(CONTROL!$C$9, $C$13, 100%, $E$13) + CHOOSE(CONTROL!$C$28, 0.0311, 0)</f>
        <v>47.652799999999999</v>
      </c>
      <c r="D479" s="4">
        <f>54.1158 * CHOOSE(CONTROL!$C$9, $C$13, 100%, $E$13) + CHOOSE(CONTROL!$C$28, 0, 0)</f>
        <v>54.1158</v>
      </c>
      <c r="E479" s="4">
        <f>289.787908646444 * CHOOSE(CONTROL!$C$9, $C$13, 100%, $E$13) + CHOOSE(CONTROL!$C$28, 0, 0)</f>
        <v>289.78790864644401</v>
      </c>
    </row>
    <row r="480" spans="1:5" ht="15">
      <c r="A480" s="13">
        <v>56127</v>
      </c>
      <c r="B480" s="4">
        <f>49.1153 * CHOOSE(CONTROL!$C$9, $C$13, 100%, $E$13) + CHOOSE(CONTROL!$C$28, 0.0311, 0)</f>
        <v>49.1464</v>
      </c>
      <c r="C480" s="4">
        <f>48.752 * CHOOSE(CONTROL!$C$9, $C$13, 100%, $E$13) + CHOOSE(CONTROL!$C$28, 0.0311, 0)</f>
        <v>48.783100000000005</v>
      </c>
      <c r="D480" s="4">
        <f>53.5555 * CHOOSE(CONTROL!$C$9, $C$13, 100%, $E$13) + CHOOSE(CONTROL!$C$28, 0, 0)</f>
        <v>53.555500000000002</v>
      </c>
      <c r="E480" s="4">
        <f>296.726037862367 * CHOOSE(CONTROL!$C$9, $C$13, 100%, $E$13) + CHOOSE(CONTROL!$C$28, 0, 0)</f>
        <v>296.72603786236698</v>
      </c>
    </row>
    <row r="481" spans="1:5" ht="15">
      <c r="A481" s="13">
        <v>56157</v>
      </c>
      <c r="B481" s="4">
        <f>47.1889 * CHOOSE(CONTROL!$C$9, $C$13, 100%, $E$13) + CHOOSE(CONTROL!$C$28, 0.0311, 0)</f>
        <v>47.22</v>
      </c>
      <c r="C481" s="4">
        <f>46.8256 * CHOOSE(CONTROL!$C$9, $C$13, 100%, $E$13) + CHOOSE(CONTROL!$C$28, 0.0311, 0)</f>
        <v>46.856700000000004</v>
      </c>
      <c r="D481" s="4">
        <f>53.2908 * CHOOSE(CONTROL!$C$9, $C$13, 100%, $E$13) + CHOOSE(CONTROL!$C$28, 0, 0)</f>
        <v>53.290799999999997</v>
      </c>
      <c r="E481" s="4">
        <f>284.90125285317 * CHOOSE(CONTROL!$C$9, $C$13, 100%, $E$13) + CHOOSE(CONTROL!$C$28, 0, 0)</f>
        <v>284.90125285316998</v>
      </c>
    </row>
    <row r="482" spans="1:5" ht="15">
      <c r="A482" s="13">
        <v>56188</v>
      </c>
      <c r="B482" s="4">
        <f>45.6467 * CHOOSE(CONTROL!$C$9, $C$13, 100%, $E$13) + CHOOSE(CONTROL!$C$28, 0.0003, 0)</f>
        <v>45.647000000000006</v>
      </c>
      <c r="C482" s="4">
        <f>45.2834 * CHOOSE(CONTROL!$C$9, $C$13, 100%, $E$13) + CHOOSE(CONTROL!$C$28, 0.0003, 0)</f>
        <v>45.283700000000003</v>
      </c>
      <c r="D482" s="4">
        <f>52.582 * CHOOSE(CONTROL!$C$9, $C$13, 100%, $E$13) + CHOOSE(CONTROL!$C$28, 0, 0)</f>
        <v>52.582000000000001</v>
      </c>
      <c r="E482" s="4">
        <f>275.435278108965 * CHOOSE(CONTROL!$C$9, $C$13, 100%, $E$13) + CHOOSE(CONTROL!$C$28, 0, 0)</f>
        <v>275.43527810896501</v>
      </c>
    </row>
    <row r="483" spans="1:5" ht="15">
      <c r="A483" s="13">
        <v>56218</v>
      </c>
      <c r="B483" s="4">
        <f>44.6534 * CHOOSE(CONTROL!$C$9, $C$13, 100%, $E$13) + CHOOSE(CONTROL!$C$28, 0.0003, 0)</f>
        <v>44.653700000000001</v>
      </c>
      <c r="C483" s="4">
        <f>44.2901 * CHOOSE(CONTROL!$C$9, $C$13, 100%, $E$13) + CHOOSE(CONTROL!$C$28, 0.0003, 0)</f>
        <v>44.290400000000005</v>
      </c>
      <c r="D483" s="4">
        <f>52.3384 * CHOOSE(CONTROL!$C$9, $C$13, 100%, $E$13) + CHOOSE(CONTROL!$C$28, 0, 0)</f>
        <v>52.3384</v>
      </c>
      <c r="E483" s="4">
        <f>269.33848349896 * CHOOSE(CONTROL!$C$9, $C$13, 100%, $E$13) + CHOOSE(CONTROL!$C$28, 0, 0)</f>
        <v>269.33848349895999</v>
      </c>
    </row>
    <row r="484" spans="1:5" ht="15">
      <c r="A484" s="13">
        <v>56249</v>
      </c>
      <c r="B484" s="4">
        <f>43.9662 * CHOOSE(CONTROL!$C$9, $C$13, 100%, $E$13) + CHOOSE(CONTROL!$C$28, 0.0003, 0)</f>
        <v>43.966500000000003</v>
      </c>
      <c r="C484" s="4">
        <f>43.6029 * CHOOSE(CONTROL!$C$9, $C$13, 100%, $E$13) + CHOOSE(CONTROL!$C$28, 0.0003, 0)</f>
        <v>43.603200000000001</v>
      </c>
      <c r="D484" s="4">
        <f>50.5444 * CHOOSE(CONTROL!$C$9, $C$13, 100%, $E$13) + CHOOSE(CONTROL!$C$28, 0, 0)</f>
        <v>50.544400000000003</v>
      </c>
      <c r="E484" s="4">
        <f>265.120285337784 * CHOOSE(CONTROL!$C$9, $C$13, 100%, $E$13) + CHOOSE(CONTROL!$C$28, 0, 0)</f>
        <v>265.12028533778403</v>
      </c>
    </row>
    <row r="485" spans="1:5" ht="15">
      <c r="A485" s="13">
        <v>56280</v>
      </c>
      <c r="B485" s="4">
        <f>42.8496 * CHOOSE(CONTROL!$C$9, $C$13, 100%, $E$13) + CHOOSE(CONTROL!$C$28, 0.0003, 0)</f>
        <v>42.849900000000005</v>
      </c>
      <c r="C485" s="4">
        <f>42.4863 * CHOOSE(CONTROL!$C$9, $C$13, 100%, $E$13) + CHOOSE(CONTROL!$C$28, 0.0003, 0)</f>
        <v>42.486600000000003</v>
      </c>
      <c r="D485" s="4">
        <f>48.8956 * CHOOSE(CONTROL!$C$9, $C$13, 100%, $E$13) + CHOOSE(CONTROL!$C$28, 0, 0)</f>
        <v>48.895600000000002</v>
      </c>
      <c r="E485" s="4">
        <f>257.517645847332 * CHOOSE(CONTROL!$C$9, $C$13, 100%, $E$13) + CHOOSE(CONTROL!$C$28, 0, 0)</f>
        <v>257.51764584733201</v>
      </c>
    </row>
    <row r="486" spans="1:5" ht="15">
      <c r="A486" s="13">
        <v>56308</v>
      </c>
      <c r="B486" s="4">
        <f>43.8487 * CHOOSE(CONTROL!$C$9, $C$13, 100%, $E$13) + CHOOSE(CONTROL!$C$28, 0.0003, 0)</f>
        <v>43.849000000000004</v>
      </c>
      <c r="C486" s="4">
        <f>43.4854 * CHOOSE(CONTROL!$C$9, $C$13, 100%, $E$13) + CHOOSE(CONTROL!$C$28, 0.0003, 0)</f>
        <v>43.485700000000001</v>
      </c>
      <c r="D486" s="4">
        <f>50.556 * CHOOSE(CONTROL!$C$9, $C$13, 100%, $E$13) + CHOOSE(CONTROL!$C$28, 0, 0)</f>
        <v>50.555999999999997</v>
      </c>
      <c r="E486" s="4">
        <f>263.632129613469 * CHOOSE(CONTROL!$C$9, $C$13, 100%, $E$13) + CHOOSE(CONTROL!$C$28, 0, 0)</f>
        <v>263.63212961346898</v>
      </c>
    </row>
    <row r="487" spans="1:5" ht="15">
      <c r="A487" s="13">
        <v>56339</v>
      </c>
      <c r="B487" s="4">
        <f>46.4722 * CHOOSE(CONTROL!$C$9, $C$13, 100%, $E$13) + CHOOSE(CONTROL!$C$28, 0.0003, 0)</f>
        <v>46.472500000000004</v>
      </c>
      <c r="C487" s="4">
        <f>46.1089 * CHOOSE(CONTROL!$C$9, $C$13, 100%, $E$13) + CHOOSE(CONTROL!$C$28, 0.0003, 0)</f>
        <v>46.109200000000001</v>
      </c>
      <c r="D487" s="4">
        <f>53.1551 * CHOOSE(CONTROL!$C$9, $C$13, 100%, $E$13) + CHOOSE(CONTROL!$C$28, 0, 0)</f>
        <v>53.155099999999997</v>
      </c>
      <c r="E487" s="4">
        <f>279.689088926747 * CHOOSE(CONTROL!$C$9, $C$13, 100%, $E$13) + CHOOSE(CONTROL!$C$28, 0, 0)</f>
        <v>279.68908892674699</v>
      </c>
    </row>
    <row r="488" spans="1:5" ht="15">
      <c r="A488" s="13">
        <v>56369</v>
      </c>
      <c r="B488" s="4">
        <f>48.3363 * CHOOSE(CONTROL!$C$9, $C$13, 100%, $E$13) + CHOOSE(CONTROL!$C$28, 0.0003, 0)</f>
        <v>48.336600000000004</v>
      </c>
      <c r="C488" s="4">
        <f>47.973 * CHOOSE(CONTROL!$C$9, $C$13, 100%, $E$13) + CHOOSE(CONTROL!$C$28, 0.0003, 0)</f>
        <v>47.973300000000002</v>
      </c>
      <c r="D488" s="4">
        <f>54.6523 * CHOOSE(CONTROL!$C$9, $C$13, 100%, $E$13) + CHOOSE(CONTROL!$C$28, 0, 0)</f>
        <v>54.652299999999997</v>
      </c>
      <c r="E488" s="4">
        <f>291.09777250595 * CHOOSE(CONTROL!$C$9, $C$13, 100%, $E$13) + CHOOSE(CONTROL!$C$28, 0, 0)</f>
        <v>291.09777250594999</v>
      </c>
    </row>
    <row r="489" spans="1:5" ht="15">
      <c r="A489" s="13">
        <v>56400</v>
      </c>
      <c r="B489" s="4">
        <f>49.4752 * CHOOSE(CONTROL!$C$9, $C$13, 100%, $E$13) + CHOOSE(CONTROL!$C$28, 0.0311, 0)</f>
        <v>49.506300000000003</v>
      </c>
      <c r="C489" s="4">
        <f>49.1119 * CHOOSE(CONTROL!$C$9, $C$13, 100%, $E$13) + CHOOSE(CONTROL!$C$28, 0.0311, 0)</f>
        <v>49.143000000000001</v>
      </c>
      <c r="D489" s="4">
        <f>54.0607 * CHOOSE(CONTROL!$C$9, $C$13, 100%, $E$13) + CHOOSE(CONTROL!$C$28, 0, 0)</f>
        <v>54.060699999999997</v>
      </c>
      <c r="E489" s="4">
        <f>298.068204744858 * CHOOSE(CONTROL!$C$9, $C$13, 100%, $E$13) + CHOOSE(CONTROL!$C$28, 0, 0)</f>
        <v>298.06820474485801</v>
      </c>
    </row>
    <row r="490" spans="1:5" ht="15">
      <c r="A490" s="13">
        <v>56430</v>
      </c>
      <c r="B490" s="4">
        <f>49.6293 * CHOOSE(CONTROL!$C$9, $C$13, 100%, $E$13) + CHOOSE(CONTROL!$C$28, 0.0311, 0)</f>
        <v>49.660400000000003</v>
      </c>
      <c r="C490" s="4">
        <f>49.266 * CHOOSE(CONTROL!$C$9, $C$13, 100%, $E$13) + CHOOSE(CONTROL!$C$28, 0.0311, 0)</f>
        <v>49.2971</v>
      </c>
      <c r="D490" s="4">
        <f>54.5425 * CHOOSE(CONTROL!$C$9, $C$13, 100%, $E$13) + CHOOSE(CONTROL!$C$28, 0, 0)</f>
        <v>54.542499999999997</v>
      </c>
      <c r="E490" s="4">
        <f>299.01133315467 * CHOOSE(CONTROL!$C$9, $C$13, 100%, $E$13) + CHOOSE(CONTROL!$C$28, 0, 0)</f>
        <v>299.01133315467001</v>
      </c>
    </row>
    <row r="491" spans="1:5" ht="15">
      <c r="A491" s="13">
        <v>56461</v>
      </c>
      <c r="B491" s="4">
        <f>49.6138 * CHOOSE(CONTROL!$C$9, $C$13, 100%, $E$13) + CHOOSE(CONTROL!$C$28, 0.0311, 0)</f>
        <v>49.6449</v>
      </c>
      <c r="C491" s="4">
        <f>49.2505 * CHOOSE(CONTROL!$C$9, $C$13, 100%, $E$13) + CHOOSE(CONTROL!$C$28, 0.0311, 0)</f>
        <v>49.281600000000005</v>
      </c>
      <c r="D491" s="4">
        <f>55.4119 * CHOOSE(CONTROL!$C$9, $C$13, 100%, $E$13) + CHOOSE(CONTROL!$C$28, 0, 0)</f>
        <v>55.411900000000003</v>
      </c>
      <c r="E491" s="4">
        <f>298.916227768807 * CHOOSE(CONTROL!$C$9, $C$13, 100%, $E$13) + CHOOSE(CONTROL!$C$28, 0, 0)</f>
        <v>298.916227768807</v>
      </c>
    </row>
    <row r="492" spans="1:5" ht="15">
      <c r="A492" s="13">
        <v>56492</v>
      </c>
      <c r="B492" s="4">
        <f>50.7831 * CHOOSE(CONTROL!$C$9, $C$13, 100%, $E$13) + CHOOSE(CONTROL!$C$28, 0.0311, 0)</f>
        <v>50.8142</v>
      </c>
      <c r="C492" s="4">
        <f>50.4198 * CHOOSE(CONTROL!$C$9, $C$13, 100%, $E$13) + CHOOSE(CONTROL!$C$28, 0.0311, 0)</f>
        <v>50.450900000000004</v>
      </c>
      <c r="D492" s="4">
        <f>54.8378 * CHOOSE(CONTROL!$C$9, $C$13, 100%, $E$13) + CHOOSE(CONTROL!$C$28, 0, 0)</f>
        <v>54.837800000000001</v>
      </c>
      <c r="E492" s="4">
        <f>306.072908055031 * CHOOSE(CONTROL!$C$9, $C$13, 100%, $E$13) + CHOOSE(CONTROL!$C$28, 0, 0)</f>
        <v>306.07290805503101</v>
      </c>
    </row>
    <row r="493" spans="1:5" ht="15">
      <c r="A493" s="13">
        <v>56522</v>
      </c>
      <c r="B493" s="4">
        <f>48.7902 * CHOOSE(CONTROL!$C$9, $C$13, 100%, $E$13) + CHOOSE(CONTROL!$C$28, 0.0311, 0)</f>
        <v>48.821300000000001</v>
      </c>
      <c r="C493" s="4">
        <f>48.4269 * CHOOSE(CONTROL!$C$9, $C$13, 100%, $E$13) + CHOOSE(CONTROL!$C$28, 0.0311, 0)</f>
        <v>48.458000000000006</v>
      </c>
      <c r="D493" s="4">
        <f>54.5665 * CHOOSE(CONTROL!$C$9, $C$13, 100%, $E$13) + CHOOSE(CONTROL!$C$28, 0, 0)</f>
        <v>54.566499999999998</v>
      </c>
      <c r="E493" s="4">
        <f>293.875642318044 * CHOOSE(CONTROL!$C$9, $C$13, 100%, $E$13) + CHOOSE(CONTROL!$C$28, 0, 0)</f>
        <v>293.87564231804402</v>
      </c>
    </row>
    <row r="494" spans="1:5" ht="15">
      <c r="A494" s="13">
        <v>56553</v>
      </c>
      <c r="B494" s="4">
        <f>47.1948 * CHOOSE(CONTROL!$C$9, $C$13, 100%, $E$13) + CHOOSE(CONTROL!$C$28, 0.0003, 0)</f>
        <v>47.195100000000004</v>
      </c>
      <c r="C494" s="4">
        <f>46.8315 * CHOOSE(CONTROL!$C$9, $C$13, 100%, $E$13) + CHOOSE(CONTROL!$C$28, 0.0003, 0)</f>
        <v>46.831800000000001</v>
      </c>
      <c r="D494" s="4">
        <f>53.8402 * CHOOSE(CONTROL!$C$9, $C$13, 100%, $E$13) + CHOOSE(CONTROL!$C$28, 0, 0)</f>
        <v>53.840200000000003</v>
      </c>
      <c r="E494" s="4">
        <f>284.111489369397 * CHOOSE(CONTROL!$C$9, $C$13, 100%, $E$13) + CHOOSE(CONTROL!$C$28, 0, 0)</f>
        <v>284.11148936939702</v>
      </c>
    </row>
    <row r="495" spans="1:5" ht="15">
      <c r="A495" s="13">
        <v>56583</v>
      </c>
      <c r="B495" s="4">
        <f>46.1673 * CHOOSE(CONTROL!$C$9, $C$13, 100%, $E$13) + CHOOSE(CONTROL!$C$28, 0.0003, 0)</f>
        <v>46.1676</v>
      </c>
      <c r="C495" s="4">
        <f>45.804 * CHOOSE(CONTROL!$C$9, $C$13, 100%, $E$13) + CHOOSE(CONTROL!$C$28, 0.0003, 0)</f>
        <v>45.804300000000005</v>
      </c>
      <c r="D495" s="4">
        <f>53.5904 * CHOOSE(CONTROL!$C$9, $C$13, 100%, $E$13) + CHOOSE(CONTROL!$C$28, 0, 0)</f>
        <v>53.590400000000002</v>
      </c>
      <c r="E495" s="4">
        <f>277.822645729177 * CHOOSE(CONTROL!$C$9, $C$13, 100%, $E$13) + CHOOSE(CONTROL!$C$28, 0, 0)</f>
        <v>277.822645729177</v>
      </c>
    </row>
    <row r="496" spans="1:5" ht="15">
      <c r="A496" s="13">
        <v>56614</v>
      </c>
      <c r="B496" s="4">
        <f>45.4563 * CHOOSE(CONTROL!$C$9, $C$13, 100%, $E$13) + CHOOSE(CONTROL!$C$28, 0.0003, 0)</f>
        <v>45.456600000000002</v>
      </c>
      <c r="C496" s="4">
        <f>45.0931 * CHOOSE(CONTROL!$C$9, $C$13, 100%, $E$13) + CHOOSE(CONTROL!$C$28, 0.0003, 0)</f>
        <v>45.093400000000003</v>
      </c>
      <c r="D496" s="4">
        <f>51.752 * CHOOSE(CONTROL!$C$9, $C$13, 100%, $E$13) + CHOOSE(CONTROL!$C$28, 0, 0)</f>
        <v>51.752000000000002</v>
      </c>
      <c r="E496" s="4">
        <f>273.471574325925 * CHOOSE(CONTROL!$C$9, $C$13, 100%, $E$13) + CHOOSE(CONTROL!$C$28, 0, 0)</f>
        <v>273.47157432592502</v>
      </c>
    </row>
    <row r="497" spans="1:5" ht="15">
      <c r="A497" s="13">
        <v>56645</v>
      </c>
      <c r="B497" s="4">
        <f>44.3012 * CHOOSE(CONTROL!$C$9, $C$13, 100%, $E$13) + CHOOSE(CONTROL!$C$28, 0.0003, 0)</f>
        <v>44.301500000000004</v>
      </c>
      <c r="C497" s="4">
        <f>43.938 * CHOOSE(CONTROL!$C$9, $C$13, 100%, $E$13) + CHOOSE(CONTROL!$C$28, 0.0003, 0)</f>
        <v>43.938300000000005</v>
      </c>
      <c r="D497" s="4">
        <f>50.0623 * CHOOSE(CONTROL!$C$9, $C$13, 100%, $E$13) + CHOOSE(CONTROL!$C$28, 0, 0)</f>
        <v>50.0623</v>
      </c>
      <c r="E497" s="4">
        <f>265.629451691523 * CHOOSE(CONTROL!$C$9, $C$13, 100%, $E$13) + CHOOSE(CONTROL!$C$28, 0, 0)</f>
        <v>265.629451691523</v>
      </c>
    </row>
    <row r="498" spans="1:5" ht="15">
      <c r="A498" s="13">
        <v>56673</v>
      </c>
      <c r="B498" s="4">
        <f>45.3348 * CHOOSE(CONTROL!$C$9, $C$13, 100%, $E$13) + CHOOSE(CONTROL!$C$28, 0.0003, 0)</f>
        <v>45.335100000000004</v>
      </c>
      <c r="C498" s="4">
        <f>44.9715 * CHOOSE(CONTROL!$C$9, $C$13, 100%, $E$13) + CHOOSE(CONTROL!$C$28, 0.0003, 0)</f>
        <v>44.971800000000002</v>
      </c>
      <c r="D498" s="4">
        <f>51.7638 * CHOOSE(CONTROL!$C$9, $C$13, 100%, $E$13) + CHOOSE(CONTROL!$C$28, 0, 0)</f>
        <v>51.763800000000003</v>
      </c>
      <c r="E498" s="4">
        <f>271.936541696293 * CHOOSE(CONTROL!$C$9, $C$13, 100%, $E$13) + CHOOSE(CONTROL!$C$28, 0, 0)</f>
        <v>271.93654169629298</v>
      </c>
    </row>
    <row r="499" spans="1:5" ht="15">
      <c r="A499" s="13">
        <v>56704</v>
      </c>
      <c r="B499" s="4">
        <f>48.0488 * CHOOSE(CONTROL!$C$9, $C$13, 100%, $E$13) + CHOOSE(CONTROL!$C$28, 0.0003, 0)</f>
        <v>48.049100000000003</v>
      </c>
      <c r="C499" s="4">
        <f>47.6856 * CHOOSE(CONTROL!$C$9, $C$13, 100%, $E$13) + CHOOSE(CONTROL!$C$28, 0.0003, 0)</f>
        <v>47.685900000000004</v>
      </c>
      <c r="D499" s="4">
        <f>54.4275 * CHOOSE(CONTROL!$C$9, $C$13, 100%, $E$13) + CHOOSE(CONTROL!$C$28, 0, 0)</f>
        <v>54.427500000000002</v>
      </c>
      <c r="E499" s="4">
        <f>288.49929522794 * CHOOSE(CONTROL!$C$9, $C$13, 100%, $E$13) + CHOOSE(CONTROL!$C$28, 0, 0)</f>
        <v>288.49929522794002</v>
      </c>
    </row>
    <row r="500" spans="1:5" ht="15">
      <c r="A500" s="13">
        <v>56734</v>
      </c>
      <c r="B500" s="4">
        <f>49.9772 * CHOOSE(CONTROL!$C$9, $C$13, 100%, $E$13) + CHOOSE(CONTROL!$C$28, 0.0003, 0)</f>
        <v>49.977500000000006</v>
      </c>
      <c r="C500" s="4">
        <f>49.6139 * CHOOSE(CONTROL!$C$9, $C$13, 100%, $E$13) + CHOOSE(CONTROL!$C$28, 0.0003, 0)</f>
        <v>49.614200000000004</v>
      </c>
      <c r="D500" s="4">
        <f>55.9618 * CHOOSE(CONTROL!$C$9, $C$13, 100%, $E$13) + CHOOSE(CONTROL!$C$28, 0, 0)</f>
        <v>55.961799999999997</v>
      </c>
      <c r="E500" s="4">
        <f>300.267352339887 * CHOOSE(CONTROL!$C$9, $C$13, 100%, $E$13) + CHOOSE(CONTROL!$C$28, 0, 0)</f>
        <v>300.267352339887</v>
      </c>
    </row>
    <row r="501" spans="1:5" ht="15">
      <c r="A501" s="13">
        <v>56765</v>
      </c>
      <c r="B501" s="4">
        <f>51.1554 * CHOOSE(CONTROL!$C$9, $C$13, 100%, $E$13) + CHOOSE(CONTROL!$C$28, 0.0311, 0)</f>
        <v>51.186500000000002</v>
      </c>
      <c r="C501" s="4">
        <f>50.7921 * CHOOSE(CONTROL!$C$9, $C$13, 100%, $E$13) + CHOOSE(CONTROL!$C$28, 0.0311, 0)</f>
        <v>50.8232</v>
      </c>
      <c r="D501" s="4">
        <f>55.3555 * CHOOSE(CONTROL!$C$9, $C$13, 100%, $E$13) + CHOOSE(CONTROL!$C$28, 0, 0)</f>
        <v>55.355499999999999</v>
      </c>
      <c r="E501" s="4">
        <f>307.457353194321 * CHOOSE(CONTROL!$C$9, $C$13, 100%, $E$13) + CHOOSE(CONTROL!$C$28, 0, 0)</f>
        <v>307.457353194321</v>
      </c>
    </row>
    <row r="502" spans="1:5" ht="15">
      <c r="A502" s="13">
        <v>56795</v>
      </c>
      <c r="B502" s="4">
        <f>51.3148 * CHOOSE(CONTROL!$C$9, $C$13, 100%, $E$13) + CHOOSE(CONTROL!$C$28, 0.0311, 0)</f>
        <v>51.3459</v>
      </c>
      <c r="C502" s="4">
        <f>50.9516 * CHOOSE(CONTROL!$C$9, $C$13, 100%, $E$13) + CHOOSE(CONTROL!$C$28, 0.0311, 0)</f>
        <v>50.982700000000001</v>
      </c>
      <c r="D502" s="4">
        <f>55.8493 * CHOOSE(CONTROL!$C$9, $C$13, 100%, $E$13) + CHOOSE(CONTROL!$C$28, 0, 0)</f>
        <v>55.849299999999999</v>
      </c>
      <c r="E502" s="4">
        <f>308.430190149043 * CHOOSE(CONTROL!$C$9, $C$13, 100%, $E$13) + CHOOSE(CONTROL!$C$28, 0, 0)</f>
        <v>308.43019014904303</v>
      </c>
    </row>
    <row r="503" spans="1:5" ht="15">
      <c r="A503" s="13">
        <v>56826</v>
      </c>
      <c r="B503" s="4">
        <f>51.2988 * CHOOSE(CONTROL!$C$9, $C$13, 100%, $E$13) + CHOOSE(CONTROL!$C$28, 0.0311, 0)</f>
        <v>51.329900000000002</v>
      </c>
      <c r="C503" s="4">
        <f>50.9355 * CHOOSE(CONTROL!$C$9, $C$13, 100%, $E$13) + CHOOSE(CONTROL!$C$28, 0.0311, 0)</f>
        <v>50.9666</v>
      </c>
      <c r="D503" s="4">
        <f>56.7402 * CHOOSE(CONTROL!$C$9, $C$13, 100%, $E$13) + CHOOSE(CONTROL!$C$28, 0, 0)</f>
        <v>56.740200000000002</v>
      </c>
      <c r="E503" s="4">
        <f>308.332088943524 * CHOOSE(CONTROL!$C$9, $C$13, 100%, $E$13) + CHOOSE(CONTROL!$C$28, 0, 0)</f>
        <v>308.33208894352401</v>
      </c>
    </row>
    <row r="504" spans="1:5" ht="15">
      <c r="A504" s="13">
        <v>56857</v>
      </c>
      <c r="B504" s="4">
        <f>52.5085 * CHOOSE(CONTROL!$C$9, $C$13, 100%, $E$13) + CHOOSE(CONTROL!$C$28, 0.0311, 0)</f>
        <v>52.5396</v>
      </c>
      <c r="C504" s="4">
        <f>52.1452 * CHOOSE(CONTROL!$C$9, $C$13, 100%, $E$13) + CHOOSE(CONTROL!$C$28, 0.0311, 0)</f>
        <v>52.176300000000005</v>
      </c>
      <c r="D504" s="4">
        <f>56.1518 * CHOOSE(CONTROL!$C$9, $C$13, 100%, $E$13) + CHOOSE(CONTROL!$C$28, 0, 0)</f>
        <v>56.151800000000001</v>
      </c>
      <c r="E504" s="4">
        <f>315.714204658765 * CHOOSE(CONTROL!$C$9, $C$13, 100%, $E$13) + CHOOSE(CONTROL!$C$28, 0, 0)</f>
        <v>315.71420465876503</v>
      </c>
    </row>
    <row r="505" spans="1:5" ht="15">
      <c r="A505" s="13">
        <v>56887</v>
      </c>
      <c r="B505" s="4">
        <f>50.4468 * CHOOSE(CONTROL!$C$9, $C$13, 100%, $E$13) + CHOOSE(CONTROL!$C$28, 0.0311, 0)</f>
        <v>50.477900000000005</v>
      </c>
      <c r="C505" s="4">
        <f>50.0835 * CHOOSE(CONTROL!$C$9, $C$13, 100%, $E$13) + CHOOSE(CONTROL!$C$28, 0.0311, 0)</f>
        <v>50.114600000000003</v>
      </c>
      <c r="D505" s="4">
        <f>55.8738 * CHOOSE(CONTROL!$C$9, $C$13, 100%, $E$13) + CHOOSE(CONTROL!$C$28, 0, 0)</f>
        <v>55.873800000000003</v>
      </c>
      <c r="E505" s="4">
        <f>303.132725051063 * CHOOSE(CONTROL!$C$9, $C$13, 100%, $E$13) + CHOOSE(CONTROL!$C$28, 0, 0)</f>
        <v>303.13272505106301</v>
      </c>
    </row>
    <row r="506" spans="1:5" ht="15">
      <c r="A506" s="13">
        <v>56918</v>
      </c>
      <c r="B506" s="4">
        <f>48.7963 * CHOOSE(CONTROL!$C$9, $C$13, 100%, $E$13) + CHOOSE(CONTROL!$C$28, 0.0003, 0)</f>
        <v>48.796600000000005</v>
      </c>
      <c r="C506" s="4">
        <f>48.4331 * CHOOSE(CONTROL!$C$9, $C$13, 100%, $E$13) + CHOOSE(CONTROL!$C$28, 0.0003, 0)</f>
        <v>48.433400000000006</v>
      </c>
      <c r="D506" s="4">
        <f>55.1295 * CHOOSE(CONTROL!$C$9, $C$13, 100%, $E$13) + CHOOSE(CONTROL!$C$28, 0, 0)</f>
        <v>55.1295</v>
      </c>
      <c r="E506" s="4">
        <f>293.061001284533 * CHOOSE(CONTROL!$C$9, $C$13, 100%, $E$13) + CHOOSE(CONTROL!$C$28, 0, 0)</f>
        <v>293.06100128453301</v>
      </c>
    </row>
    <row r="507" spans="1:5" ht="15">
      <c r="A507" s="13">
        <v>56948</v>
      </c>
      <c r="B507" s="4">
        <f>47.7334 * CHOOSE(CONTROL!$C$9, $C$13, 100%, $E$13) + CHOOSE(CONTROL!$C$28, 0.0003, 0)</f>
        <v>47.733700000000006</v>
      </c>
      <c r="C507" s="4">
        <f>47.3701 * CHOOSE(CONTROL!$C$9, $C$13, 100%, $E$13) + CHOOSE(CONTROL!$C$28, 0.0003, 0)</f>
        <v>47.370400000000004</v>
      </c>
      <c r="D507" s="4">
        <f>54.8736 * CHOOSE(CONTROL!$C$9, $C$13, 100%, $E$13) + CHOOSE(CONTROL!$C$28, 0, 0)</f>
        <v>54.873600000000003</v>
      </c>
      <c r="E507" s="4">
        <f>286.574059069646 * CHOOSE(CONTROL!$C$9, $C$13, 100%, $E$13) + CHOOSE(CONTROL!$C$28, 0, 0)</f>
        <v>286.57405906964601</v>
      </c>
    </row>
    <row r="508" spans="1:5" ht="15">
      <c r="A508" s="13">
        <v>56979</v>
      </c>
      <c r="B508" s="4">
        <f>46.9979 * CHOOSE(CONTROL!$C$9, $C$13, 100%, $E$13) + CHOOSE(CONTROL!$C$28, 0.0003, 0)</f>
        <v>46.998200000000004</v>
      </c>
      <c r="C508" s="4">
        <f>46.6346 * CHOOSE(CONTROL!$C$9, $C$13, 100%, $E$13) + CHOOSE(CONTROL!$C$28, 0.0003, 0)</f>
        <v>46.634900000000002</v>
      </c>
      <c r="D508" s="4">
        <f>52.9895 * CHOOSE(CONTROL!$C$9, $C$13, 100%, $E$13) + CHOOSE(CONTROL!$C$28, 0, 0)</f>
        <v>52.9895</v>
      </c>
      <c r="E508" s="4">
        <f>282.085928917191 * CHOOSE(CONTROL!$C$9, $C$13, 100%, $E$13) + CHOOSE(CONTROL!$C$28, 0, 0)</f>
        <v>282.08592891719098</v>
      </c>
    </row>
    <row r="509" spans="1:5" ht="15">
      <c r="A509" s="13">
        <v>57010</v>
      </c>
      <c r="B509" s="4">
        <f>45.8029 * CHOOSE(CONTROL!$C$9, $C$13, 100%, $E$13) + CHOOSE(CONTROL!$C$28, 0.0003, 0)</f>
        <v>45.803200000000004</v>
      </c>
      <c r="C509" s="4">
        <f>45.4397 * CHOOSE(CONTROL!$C$9, $C$13, 100%, $E$13) + CHOOSE(CONTROL!$C$28, 0.0003, 0)</f>
        <v>45.440000000000005</v>
      </c>
      <c r="D509" s="4">
        <f>51.2579 * CHOOSE(CONTROL!$C$9, $C$13, 100%, $E$13) + CHOOSE(CONTROL!$C$28, 0, 0)</f>
        <v>51.257899999999999</v>
      </c>
      <c r="E509" s="4">
        <f>273.996779419806 * CHOOSE(CONTROL!$C$9, $C$13, 100%, $E$13) + CHOOSE(CONTROL!$C$28, 0, 0)</f>
        <v>273.99677941980599</v>
      </c>
    </row>
    <row r="510" spans="1:5" ht="15">
      <c r="A510" s="13">
        <v>57038</v>
      </c>
      <c r="B510" s="4">
        <f>46.8721 * CHOOSE(CONTROL!$C$9, $C$13, 100%, $E$13) + CHOOSE(CONTROL!$C$28, 0.0003, 0)</f>
        <v>46.872400000000006</v>
      </c>
      <c r="C510" s="4">
        <f>46.5088 * CHOOSE(CONTROL!$C$9, $C$13, 100%, $E$13) + CHOOSE(CONTROL!$C$28, 0.0003, 0)</f>
        <v>46.509100000000004</v>
      </c>
      <c r="D510" s="4">
        <f>53.0016 * CHOOSE(CONTROL!$C$9, $C$13, 100%, $E$13) + CHOOSE(CONTROL!$C$28, 0, 0)</f>
        <v>53.001600000000003</v>
      </c>
      <c r="E510" s="4">
        <f>280.502542759727 * CHOOSE(CONTROL!$C$9, $C$13, 100%, $E$13) + CHOOSE(CONTROL!$C$28, 0, 0)</f>
        <v>280.50254275972702</v>
      </c>
    </row>
    <row r="511" spans="1:5" ht="15">
      <c r="A511" s="13">
        <v>57070</v>
      </c>
      <c r="B511" s="4">
        <f>49.6798 * CHOOSE(CONTROL!$C$9, $C$13, 100%, $E$13) + CHOOSE(CONTROL!$C$28, 0.0003, 0)</f>
        <v>49.680100000000003</v>
      </c>
      <c r="C511" s="4">
        <f>49.3166 * CHOOSE(CONTROL!$C$9, $C$13, 100%, $E$13) + CHOOSE(CONTROL!$C$28, 0.0003, 0)</f>
        <v>49.316900000000004</v>
      </c>
      <c r="D511" s="4">
        <f>55.7313 * CHOOSE(CONTROL!$C$9, $C$13, 100%, $E$13) + CHOOSE(CONTROL!$C$28, 0, 0)</f>
        <v>55.731299999999997</v>
      </c>
      <c r="E511" s="4">
        <f>297.58702302762 * CHOOSE(CONTROL!$C$9, $C$13, 100%, $E$13) + CHOOSE(CONTROL!$C$28, 0, 0)</f>
        <v>297.58702302761998</v>
      </c>
    </row>
    <row r="512" spans="1:5" ht="15">
      <c r="A512" s="13">
        <v>57100</v>
      </c>
      <c r="B512" s="4">
        <f>51.6748 * CHOOSE(CONTROL!$C$9, $C$13, 100%, $E$13) + CHOOSE(CONTROL!$C$28, 0.0003, 0)</f>
        <v>51.6751</v>
      </c>
      <c r="C512" s="4">
        <f>51.3115 * CHOOSE(CONTROL!$C$9, $C$13, 100%, $E$13) + CHOOSE(CONTROL!$C$28, 0.0003, 0)</f>
        <v>51.311800000000005</v>
      </c>
      <c r="D512" s="4">
        <f>57.3037 * CHOOSE(CONTROL!$C$9, $C$13, 100%, $E$13) + CHOOSE(CONTROL!$C$28, 0, 0)</f>
        <v>57.303699999999999</v>
      </c>
      <c r="E512" s="4">
        <f>309.725773938594 * CHOOSE(CONTROL!$C$9, $C$13, 100%, $E$13) + CHOOSE(CONTROL!$C$28, 0, 0)</f>
        <v>309.72577393859399</v>
      </c>
    </row>
    <row r="513" spans="1:5" ht="15">
      <c r="A513" s="13">
        <v>57131</v>
      </c>
      <c r="B513" s="4">
        <f>52.8936 * CHOOSE(CONTROL!$C$9, $C$13, 100%, $E$13) + CHOOSE(CONTROL!$C$28, 0.0311, 0)</f>
        <v>52.924700000000001</v>
      </c>
      <c r="C513" s="4">
        <f>52.5303 * CHOOSE(CONTROL!$C$9, $C$13, 100%, $E$13) + CHOOSE(CONTROL!$C$28, 0.0311, 0)</f>
        <v>52.561399999999999</v>
      </c>
      <c r="D513" s="4">
        <f>56.6824 * CHOOSE(CONTROL!$C$9, $C$13, 100%, $E$13) + CHOOSE(CONTROL!$C$28, 0, 0)</f>
        <v>56.682400000000001</v>
      </c>
      <c r="E513" s="4">
        <f>317.142259819942 * CHOOSE(CONTROL!$C$9, $C$13, 100%, $E$13) + CHOOSE(CONTROL!$C$28, 0, 0)</f>
        <v>317.14225981994201</v>
      </c>
    </row>
    <row r="514" spans="1:5" ht="15">
      <c r="A514" s="13">
        <v>57161</v>
      </c>
      <c r="B514" s="4">
        <f>53.0585 * CHOOSE(CONTROL!$C$9, $C$13, 100%, $E$13) + CHOOSE(CONTROL!$C$28, 0.0311, 0)</f>
        <v>53.089600000000004</v>
      </c>
      <c r="C514" s="4">
        <f>52.6952 * CHOOSE(CONTROL!$C$9, $C$13, 100%, $E$13) + CHOOSE(CONTROL!$C$28, 0.0311, 0)</f>
        <v>52.726300000000002</v>
      </c>
      <c r="D514" s="4">
        <f>57.1884 * CHOOSE(CONTROL!$C$9, $C$13, 100%, $E$13) + CHOOSE(CONTROL!$C$28, 0, 0)</f>
        <v>57.188400000000001</v>
      </c>
      <c r="E514" s="4">
        <f>318.145741138737 * CHOOSE(CONTROL!$C$9, $C$13, 100%, $E$13) + CHOOSE(CONTROL!$C$28, 0, 0)</f>
        <v>318.14574113873698</v>
      </c>
    </row>
    <row r="515" spans="1:5" ht="15">
      <c r="A515" s="13">
        <v>57192</v>
      </c>
      <c r="B515" s="4">
        <f>53.0419 * CHOOSE(CONTROL!$C$9, $C$13, 100%, $E$13) + CHOOSE(CONTROL!$C$28, 0.0311, 0)</f>
        <v>53.073</v>
      </c>
      <c r="C515" s="4">
        <f>52.6786 * CHOOSE(CONTROL!$C$9, $C$13, 100%, $E$13) + CHOOSE(CONTROL!$C$28, 0.0311, 0)</f>
        <v>52.709700000000005</v>
      </c>
      <c r="D515" s="4">
        <f>58.1015 * CHOOSE(CONTROL!$C$9, $C$13, 100%, $E$13) + CHOOSE(CONTROL!$C$28, 0, 0)</f>
        <v>58.101500000000001</v>
      </c>
      <c r="E515" s="4">
        <f>318.044549745245 * CHOOSE(CONTROL!$C$9, $C$13, 100%, $E$13) + CHOOSE(CONTROL!$C$28, 0, 0)</f>
        <v>318.04454974524498</v>
      </c>
    </row>
    <row r="516" spans="1:5" ht="15">
      <c r="A516" s="13">
        <v>57223</v>
      </c>
      <c r="B516" s="4">
        <f>54.2933 * CHOOSE(CONTROL!$C$9, $C$13, 100%, $E$13) + CHOOSE(CONTROL!$C$28, 0.0311, 0)</f>
        <v>54.324400000000004</v>
      </c>
      <c r="C516" s="4">
        <f>53.93 * CHOOSE(CONTROL!$C$9, $C$13, 100%, $E$13) + CHOOSE(CONTROL!$C$28, 0.0311, 0)</f>
        <v>53.961100000000002</v>
      </c>
      <c r="D516" s="4">
        <f>57.4985 * CHOOSE(CONTROL!$C$9, $C$13, 100%, $E$13) + CHOOSE(CONTROL!$C$28, 0, 0)</f>
        <v>57.4985</v>
      </c>
      <c r="E516" s="4">
        <f>325.659202105516 * CHOOSE(CONTROL!$C$9, $C$13, 100%, $E$13) + CHOOSE(CONTROL!$C$28, 0, 0)</f>
        <v>325.65920210551599</v>
      </c>
    </row>
    <row r="517" spans="1:5" ht="15">
      <c r="A517" s="13">
        <v>57253</v>
      </c>
      <c r="B517" s="4">
        <f>52.1605 * CHOOSE(CONTROL!$C$9, $C$13, 100%, $E$13) + CHOOSE(CONTROL!$C$28, 0.0311, 0)</f>
        <v>52.191600000000001</v>
      </c>
      <c r="C517" s="4">
        <f>51.7972 * CHOOSE(CONTROL!$C$9, $C$13, 100%, $E$13) + CHOOSE(CONTROL!$C$28, 0.0311, 0)</f>
        <v>51.828299999999999</v>
      </c>
      <c r="D517" s="4">
        <f>57.2136 * CHOOSE(CONTROL!$C$9, $C$13, 100%, $E$13) + CHOOSE(CONTROL!$C$28, 0, 0)</f>
        <v>57.2136</v>
      </c>
      <c r="E517" s="4">
        <f>312.681405890171 * CHOOSE(CONTROL!$C$9, $C$13, 100%, $E$13) + CHOOSE(CONTROL!$C$28, 0, 0)</f>
        <v>312.68140589017099</v>
      </c>
    </row>
    <row r="518" spans="1:5" ht="15">
      <c r="A518" s="13">
        <v>57284</v>
      </c>
      <c r="B518" s="4">
        <f>50.4531 * CHOOSE(CONTROL!$C$9, $C$13, 100%, $E$13) + CHOOSE(CONTROL!$C$28, 0.0003, 0)</f>
        <v>50.453400000000002</v>
      </c>
      <c r="C518" s="4">
        <f>50.0899 * CHOOSE(CONTROL!$C$9, $C$13, 100%, $E$13) + CHOOSE(CONTROL!$C$28, 0.0003, 0)</f>
        <v>50.090200000000003</v>
      </c>
      <c r="D518" s="4">
        <f>56.4508 * CHOOSE(CONTROL!$C$9, $C$13, 100%, $E$13) + CHOOSE(CONTROL!$C$28, 0, 0)</f>
        <v>56.450800000000001</v>
      </c>
      <c r="E518" s="4">
        <f>302.292422824996 * CHOOSE(CONTROL!$C$9, $C$13, 100%, $E$13) + CHOOSE(CONTROL!$C$28, 0, 0)</f>
        <v>302.29242282499598</v>
      </c>
    </row>
    <row r="519" spans="1:5" ht="15">
      <c r="A519" s="13">
        <v>57314</v>
      </c>
      <c r="B519" s="4">
        <f>49.3535 * CHOOSE(CONTROL!$C$9, $C$13, 100%, $E$13) + CHOOSE(CONTROL!$C$28, 0.0003, 0)</f>
        <v>49.3538</v>
      </c>
      <c r="C519" s="4">
        <f>48.9902 * CHOOSE(CONTROL!$C$9, $C$13, 100%, $E$13) + CHOOSE(CONTROL!$C$28, 0.0003, 0)</f>
        <v>48.990500000000004</v>
      </c>
      <c r="D519" s="4">
        <f>56.1885 * CHOOSE(CONTROL!$C$9, $C$13, 100%, $E$13) + CHOOSE(CONTROL!$C$28, 0, 0)</f>
        <v>56.188499999999998</v>
      </c>
      <c r="E519" s="4">
        <f>295.60114193034 * CHOOSE(CONTROL!$C$9, $C$13, 100%, $E$13) + CHOOSE(CONTROL!$C$28, 0, 0)</f>
        <v>295.60114193034002</v>
      </c>
    </row>
    <row r="520" spans="1:5" ht="15">
      <c r="A520" s="13">
        <v>57345</v>
      </c>
      <c r="B520" s="4">
        <f>48.5926 * CHOOSE(CONTROL!$C$9, $C$13, 100%, $E$13) + CHOOSE(CONTROL!$C$28, 0.0003, 0)</f>
        <v>48.5929</v>
      </c>
      <c r="C520" s="4">
        <f>48.2294 * CHOOSE(CONTROL!$C$9, $C$13, 100%, $E$13) + CHOOSE(CONTROL!$C$28, 0.0003, 0)</f>
        <v>48.229700000000001</v>
      </c>
      <c r="D520" s="4">
        <f>54.2577 * CHOOSE(CONTROL!$C$9, $C$13, 100%, $E$13) + CHOOSE(CONTROL!$C$28, 0, 0)</f>
        <v>54.2577</v>
      </c>
      <c r="E520" s="4">
        <f>290.971635678083 * CHOOSE(CONTROL!$C$9, $C$13, 100%, $E$13) + CHOOSE(CONTROL!$C$28, 0, 0)</f>
        <v>290.97163567808298</v>
      </c>
    </row>
    <row r="521" spans="1:5" ht="15">
      <c r="A521" s="13">
        <v>57376</v>
      </c>
      <c r="B521" s="4">
        <f>47.3565 * CHOOSE(CONTROL!$C$9, $C$13, 100%, $E$13) + CHOOSE(CONTROL!$C$28, 0.0003, 0)</f>
        <v>47.3568</v>
      </c>
      <c r="C521" s="4">
        <f>46.9932 * CHOOSE(CONTROL!$C$9, $C$13, 100%, $E$13) + CHOOSE(CONTROL!$C$28, 0.0003, 0)</f>
        <v>46.993500000000004</v>
      </c>
      <c r="D521" s="4">
        <f>52.4832 * CHOOSE(CONTROL!$C$9, $C$13, 100%, $E$13) + CHOOSE(CONTROL!$C$28, 0, 0)</f>
        <v>52.483199999999997</v>
      </c>
      <c r="E521" s="4">
        <f>282.627677971529 * CHOOSE(CONTROL!$C$9, $C$13, 100%, $E$13) + CHOOSE(CONTROL!$C$28, 0, 0)</f>
        <v>282.62767797152901</v>
      </c>
    </row>
    <row r="522" spans="1:5" ht="15">
      <c r="A522" s="13">
        <v>57404</v>
      </c>
      <c r="B522" s="4">
        <f>48.4625 * CHOOSE(CONTROL!$C$9, $C$13, 100%, $E$13) + CHOOSE(CONTROL!$C$28, 0.0003, 0)</f>
        <v>48.462800000000001</v>
      </c>
      <c r="C522" s="4">
        <f>48.0992 * CHOOSE(CONTROL!$C$9, $C$13, 100%, $E$13) + CHOOSE(CONTROL!$C$28, 0.0003, 0)</f>
        <v>48.099500000000006</v>
      </c>
      <c r="D522" s="4">
        <f>54.2702 * CHOOSE(CONTROL!$C$9, $C$13, 100%, $E$13) + CHOOSE(CONTROL!$C$28, 0, 0)</f>
        <v>54.270200000000003</v>
      </c>
      <c r="E522" s="4">
        <f>289.338372856658 * CHOOSE(CONTROL!$C$9, $C$13, 100%, $E$13) + CHOOSE(CONTROL!$C$28, 0, 0)</f>
        <v>289.338372856658</v>
      </c>
    </row>
    <row r="523" spans="1:5" ht="15">
      <c r="A523" s="13">
        <v>57435</v>
      </c>
      <c r="B523" s="4">
        <f>51.3671 * CHOOSE(CONTROL!$C$9, $C$13, 100%, $E$13) + CHOOSE(CONTROL!$C$28, 0.0003, 0)</f>
        <v>51.367400000000004</v>
      </c>
      <c r="C523" s="4">
        <f>51.0038 * CHOOSE(CONTROL!$C$9, $C$13, 100%, $E$13) + CHOOSE(CONTROL!$C$28, 0.0003, 0)</f>
        <v>51.004100000000001</v>
      </c>
      <c r="D523" s="4">
        <f>57.0675 * CHOOSE(CONTROL!$C$9, $C$13, 100%, $E$13) + CHOOSE(CONTROL!$C$28, 0, 0)</f>
        <v>57.067500000000003</v>
      </c>
      <c r="E523" s="4">
        <f>306.96101425299 * CHOOSE(CONTROL!$C$9, $C$13, 100%, $E$13) + CHOOSE(CONTROL!$C$28, 0, 0)</f>
        <v>306.96101425299003</v>
      </c>
    </row>
    <row r="524" spans="1:5" ht="15">
      <c r="A524" s="13">
        <v>57465</v>
      </c>
      <c r="B524" s="4">
        <f>53.4309 * CHOOSE(CONTROL!$C$9, $C$13, 100%, $E$13) + CHOOSE(CONTROL!$C$28, 0.0003, 0)</f>
        <v>53.431200000000004</v>
      </c>
      <c r="C524" s="4">
        <f>53.0676 * CHOOSE(CONTROL!$C$9, $C$13, 100%, $E$13) + CHOOSE(CONTROL!$C$28, 0.0003, 0)</f>
        <v>53.067900000000002</v>
      </c>
      <c r="D524" s="4">
        <f>58.6789 * CHOOSE(CONTROL!$C$9, $C$13, 100%, $E$13) + CHOOSE(CONTROL!$C$28, 0, 0)</f>
        <v>58.678899999999999</v>
      </c>
      <c r="E524" s="4">
        <f>319.482135817659 * CHOOSE(CONTROL!$C$9, $C$13, 100%, $E$13) + CHOOSE(CONTROL!$C$28, 0, 0)</f>
        <v>319.48213581765901</v>
      </c>
    </row>
    <row r="525" spans="1:5" ht="15">
      <c r="A525" s="13">
        <v>57496</v>
      </c>
      <c r="B525" s="4">
        <f>54.6918 * CHOOSE(CONTROL!$C$9, $C$13, 100%, $E$13) + CHOOSE(CONTROL!$C$28, 0.0311, 0)</f>
        <v>54.722900000000003</v>
      </c>
      <c r="C525" s="4">
        <f>54.3285 * CHOOSE(CONTROL!$C$9, $C$13, 100%, $E$13) + CHOOSE(CONTROL!$C$28, 0.0311, 0)</f>
        <v>54.3596</v>
      </c>
      <c r="D525" s="4">
        <f>58.0422 * CHOOSE(CONTROL!$C$9, $C$13, 100%, $E$13) + CHOOSE(CONTROL!$C$28, 0, 0)</f>
        <v>58.042200000000001</v>
      </c>
      <c r="E525" s="4">
        <f>327.13224100427 * CHOOSE(CONTROL!$C$9, $C$13, 100%, $E$13) + CHOOSE(CONTROL!$C$28, 0, 0)</f>
        <v>327.13224100426999</v>
      </c>
    </row>
    <row r="526" spans="1:5" ht="15">
      <c r="A526" s="13">
        <v>57526</v>
      </c>
      <c r="B526" s="4">
        <f>54.8624 * CHOOSE(CONTROL!$C$9, $C$13, 100%, $E$13) + CHOOSE(CONTROL!$C$28, 0.0311, 0)</f>
        <v>54.893500000000003</v>
      </c>
      <c r="C526" s="4">
        <f>54.4991 * CHOOSE(CONTROL!$C$9, $C$13, 100%, $E$13) + CHOOSE(CONTROL!$C$28, 0.0311, 0)</f>
        <v>54.530200000000001</v>
      </c>
      <c r="D526" s="4">
        <f>58.5608 * CHOOSE(CONTROL!$C$9, $C$13, 100%, $E$13) + CHOOSE(CONTROL!$C$28, 0, 0)</f>
        <v>58.5608</v>
      </c>
      <c r="E526" s="4">
        <f>328.167331984608 * CHOOSE(CONTROL!$C$9, $C$13, 100%, $E$13) + CHOOSE(CONTROL!$C$28, 0, 0)</f>
        <v>328.16733198460798</v>
      </c>
    </row>
    <row r="527" spans="1:5" ht="15">
      <c r="A527" s="13">
        <v>57557</v>
      </c>
      <c r="B527" s="4">
        <f>54.8452 * CHOOSE(CONTROL!$C$9, $C$13, 100%, $E$13) + CHOOSE(CONTROL!$C$28, 0.0311, 0)</f>
        <v>54.876300000000001</v>
      </c>
      <c r="C527" s="4">
        <f>54.4819 * CHOOSE(CONTROL!$C$9, $C$13, 100%, $E$13) + CHOOSE(CONTROL!$C$28, 0.0311, 0)</f>
        <v>54.513000000000005</v>
      </c>
      <c r="D527" s="4">
        <f>59.4965 * CHOOSE(CONTROL!$C$9, $C$13, 100%, $E$13) + CHOOSE(CONTROL!$C$28, 0, 0)</f>
        <v>59.496499999999997</v>
      </c>
      <c r="E527" s="4">
        <f>328.062953062221 * CHOOSE(CONTROL!$C$9, $C$13, 100%, $E$13) + CHOOSE(CONTROL!$C$28, 0, 0)</f>
        <v>328.06295306222103</v>
      </c>
    </row>
    <row r="528" spans="1:5" ht="15">
      <c r="A528" s="13">
        <v>57588</v>
      </c>
      <c r="B528" s="4">
        <f>56.1397 * CHOOSE(CONTROL!$C$9, $C$13, 100%, $E$13) + CHOOSE(CONTROL!$C$28, 0.0311, 0)</f>
        <v>56.1708</v>
      </c>
      <c r="C528" s="4">
        <f>55.7765 * CHOOSE(CONTROL!$C$9, $C$13, 100%, $E$13) + CHOOSE(CONTROL!$C$28, 0.0311, 0)</f>
        <v>55.807600000000001</v>
      </c>
      <c r="D528" s="4">
        <f>58.8785 * CHOOSE(CONTROL!$C$9, $C$13, 100%, $E$13) + CHOOSE(CONTROL!$C$28, 0, 0)</f>
        <v>58.878500000000003</v>
      </c>
      <c r="E528" s="4">
        <f>335.91746697184 * CHOOSE(CONTROL!$C$9, $C$13, 100%, $E$13) + CHOOSE(CONTROL!$C$28, 0, 0)</f>
        <v>335.91746697183999</v>
      </c>
    </row>
    <row r="529" spans="1:5" ht="15">
      <c r="A529" s="13">
        <v>57618</v>
      </c>
      <c r="B529" s="4">
        <f>53.9334 * CHOOSE(CONTROL!$C$9, $C$13, 100%, $E$13) + CHOOSE(CONTROL!$C$28, 0.0311, 0)</f>
        <v>53.964500000000001</v>
      </c>
      <c r="C529" s="4">
        <f>53.5701 * CHOOSE(CONTROL!$C$9, $C$13, 100%, $E$13) + CHOOSE(CONTROL!$C$28, 0.0311, 0)</f>
        <v>53.601199999999999</v>
      </c>
      <c r="D529" s="4">
        <f>58.5866 * CHOOSE(CONTROL!$C$9, $C$13, 100%, $E$13) + CHOOSE(CONTROL!$C$28, 0, 0)</f>
        <v>58.586599999999997</v>
      </c>
      <c r="E529" s="4">
        <f>322.530870175712 * CHOOSE(CONTROL!$C$9, $C$13, 100%, $E$13) + CHOOSE(CONTROL!$C$28, 0, 0)</f>
        <v>322.53087017571198</v>
      </c>
    </row>
    <row r="530" spans="1:5" ht="15">
      <c r="A530" s="13">
        <v>57649</v>
      </c>
      <c r="B530" s="4">
        <f>52.1671 * CHOOSE(CONTROL!$C$9, $C$13, 100%, $E$13) + CHOOSE(CONTROL!$C$28, 0.0003, 0)</f>
        <v>52.167400000000001</v>
      </c>
      <c r="C530" s="4">
        <f>51.8038 * CHOOSE(CONTROL!$C$9, $C$13, 100%, $E$13) + CHOOSE(CONTROL!$C$28, 0.0003, 0)</f>
        <v>51.804100000000005</v>
      </c>
      <c r="D530" s="4">
        <f>57.8048 * CHOOSE(CONTROL!$C$9, $C$13, 100%, $E$13) + CHOOSE(CONTROL!$C$28, 0, 0)</f>
        <v>57.8048</v>
      </c>
      <c r="E530" s="4">
        <f>311.814634143984 * CHOOSE(CONTROL!$C$9, $C$13, 100%, $E$13) + CHOOSE(CONTROL!$C$28, 0, 0)</f>
        <v>311.81463414398399</v>
      </c>
    </row>
    <row r="531" spans="1:5" ht="15">
      <c r="A531" s="13">
        <v>57679</v>
      </c>
      <c r="B531" s="4">
        <f>51.0295 * CHOOSE(CONTROL!$C$9, $C$13, 100%, $E$13) + CHOOSE(CONTROL!$C$28, 0.0003, 0)</f>
        <v>51.029800000000002</v>
      </c>
      <c r="C531" s="4">
        <f>50.6662 * CHOOSE(CONTROL!$C$9, $C$13, 100%, $E$13) + CHOOSE(CONTROL!$C$28, 0.0003, 0)</f>
        <v>50.666500000000006</v>
      </c>
      <c r="D531" s="4">
        <f>57.5361 * CHOOSE(CONTROL!$C$9, $C$13, 100%, $E$13) + CHOOSE(CONTROL!$C$28, 0, 0)</f>
        <v>57.536099999999998</v>
      </c>
      <c r="E531" s="4">
        <f>304.912577901146 * CHOOSE(CONTROL!$C$9, $C$13, 100%, $E$13) + CHOOSE(CONTROL!$C$28, 0, 0)</f>
        <v>304.91257790114599</v>
      </c>
    </row>
    <row r="532" spans="1:5" ht="15">
      <c r="A532" s="13">
        <v>57710</v>
      </c>
      <c r="B532" s="4">
        <f>50.2424 * CHOOSE(CONTROL!$C$9, $C$13, 100%, $E$13) + CHOOSE(CONTROL!$C$28, 0.0003, 0)</f>
        <v>50.242700000000006</v>
      </c>
      <c r="C532" s="4">
        <f>49.8791 * CHOOSE(CONTROL!$C$9, $C$13, 100%, $E$13) + CHOOSE(CONTROL!$C$28, 0.0003, 0)</f>
        <v>49.879400000000004</v>
      </c>
      <c r="D532" s="4">
        <f>55.5574 * CHOOSE(CONTROL!$C$9, $C$13, 100%, $E$13) + CHOOSE(CONTROL!$C$28, 0, 0)</f>
        <v>55.557400000000001</v>
      </c>
      <c r="E532" s="4">
        <f>300.137242201942 * CHOOSE(CONTROL!$C$9, $C$13, 100%, $E$13) + CHOOSE(CONTROL!$C$28, 0, 0)</f>
        <v>300.137242201942</v>
      </c>
    </row>
    <row r="533" spans="1:5" ht="15">
      <c r="A533" s="13">
        <v>57741</v>
      </c>
      <c r="B533" s="4">
        <f>48.9636 * CHOOSE(CONTROL!$C$9, $C$13, 100%, $E$13) + CHOOSE(CONTROL!$C$28, 0.0003, 0)</f>
        <v>48.963900000000002</v>
      </c>
      <c r="C533" s="4">
        <f>48.6003 * CHOOSE(CONTROL!$C$9, $C$13, 100%, $E$13) + CHOOSE(CONTROL!$C$28, 0.0003, 0)</f>
        <v>48.6006</v>
      </c>
      <c r="D533" s="4">
        <f>53.7388 * CHOOSE(CONTROL!$C$9, $C$13, 100%, $E$13) + CHOOSE(CONTROL!$C$28, 0, 0)</f>
        <v>53.738799999999998</v>
      </c>
      <c r="E533" s="4">
        <f>291.530449827633 * CHOOSE(CONTROL!$C$9, $C$13, 100%, $E$13) + CHOOSE(CONTROL!$C$28, 0, 0)</f>
        <v>291.53044982763299</v>
      </c>
    </row>
    <row r="534" spans="1:5" ht="15">
      <c r="A534" s="13">
        <v>57769</v>
      </c>
      <c r="B534" s="4">
        <f>50.1078 * CHOOSE(CONTROL!$C$9, $C$13, 100%, $E$13) + CHOOSE(CONTROL!$C$28, 0.0003, 0)</f>
        <v>50.1081</v>
      </c>
      <c r="C534" s="4">
        <f>49.7445 * CHOOSE(CONTROL!$C$9, $C$13, 100%, $E$13) + CHOOSE(CONTROL!$C$28, 0.0003, 0)</f>
        <v>49.744800000000005</v>
      </c>
      <c r="D534" s="4">
        <f>55.5701 * CHOOSE(CONTROL!$C$9, $C$13, 100%, $E$13) + CHOOSE(CONTROL!$C$28, 0, 0)</f>
        <v>55.570099999999996</v>
      </c>
      <c r="E534" s="4">
        <f>298.452531601643 * CHOOSE(CONTROL!$C$9, $C$13, 100%, $E$13) + CHOOSE(CONTROL!$C$28, 0, 0)</f>
        <v>298.45253160164299</v>
      </c>
    </row>
    <row r="535" spans="1:5" ht="15">
      <c r="A535" s="13">
        <v>57800</v>
      </c>
      <c r="B535" s="4">
        <f>53.1126 * CHOOSE(CONTROL!$C$9, $C$13, 100%, $E$13) + CHOOSE(CONTROL!$C$28, 0.0003, 0)</f>
        <v>53.112900000000003</v>
      </c>
      <c r="C535" s="4">
        <f>52.7493 * CHOOSE(CONTROL!$C$9, $C$13, 100%, $E$13) + CHOOSE(CONTROL!$C$28, 0.0003, 0)</f>
        <v>52.749600000000001</v>
      </c>
      <c r="D535" s="4">
        <f>58.4369 * CHOOSE(CONTROL!$C$9, $C$13, 100%, $E$13) + CHOOSE(CONTROL!$C$28, 0, 0)</f>
        <v>58.436900000000001</v>
      </c>
      <c r="E535" s="4">
        <f>316.630286201959 * CHOOSE(CONTROL!$C$9, $C$13, 100%, $E$13) + CHOOSE(CONTROL!$C$28, 0, 0)</f>
        <v>316.630286201959</v>
      </c>
    </row>
    <row r="536" spans="1:5" ht="15">
      <c r="A536" s="13">
        <v>57830</v>
      </c>
      <c r="B536" s="4">
        <f>55.2475 * CHOOSE(CONTROL!$C$9, $C$13, 100%, $E$13) + CHOOSE(CONTROL!$C$28, 0.0003, 0)</f>
        <v>55.247800000000005</v>
      </c>
      <c r="C536" s="4">
        <f>54.8843 * CHOOSE(CONTROL!$C$9, $C$13, 100%, $E$13) + CHOOSE(CONTROL!$C$28, 0.0003, 0)</f>
        <v>54.884600000000006</v>
      </c>
      <c r="D536" s="4">
        <f>60.0882 * CHOOSE(CONTROL!$C$9, $C$13, 100%, $E$13) + CHOOSE(CONTROL!$C$28, 0, 0)</f>
        <v>60.088200000000001</v>
      </c>
      <c r="E536" s="4">
        <f>329.545823095916 * CHOOSE(CONTROL!$C$9, $C$13, 100%, $E$13) + CHOOSE(CONTROL!$C$28, 0, 0)</f>
        <v>329.54582309591598</v>
      </c>
    </row>
    <row r="537" spans="1:5" ht="15">
      <c r="A537" s="13">
        <v>57861</v>
      </c>
      <c r="B537" s="4">
        <f>56.5519 * CHOOSE(CONTROL!$C$9, $C$13, 100%, $E$13) + CHOOSE(CONTROL!$C$28, 0.0311, 0)</f>
        <v>56.583000000000006</v>
      </c>
      <c r="C537" s="4">
        <f>56.1887 * CHOOSE(CONTROL!$C$9, $C$13, 100%, $E$13) + CHOOSE(CONTROL!$C$28, 0.0311, 0)</f>
        <v>56.219799999999999</v>
      </c>
      <c r="D537" s="4">
        <f>59.4357 * CHOOSE(CONTROL!$C$9, $C$13, 100%, $E$13) + CHOOSE(CONTROL!$C$28, 0, 0)</f>
        <v>59.435699999999997</v>
      </c>
      <c r="E537" s="4">
        <f>337.436906595905 * CHOOSE(CONTROL!$C$9, $C$13, 100%, $E$13) + CHOOSE(CONTROL!$C$28, 0, 0)</f>
        <v>337.43690659590499</v>
      </c>
    </row>
    <row r="538" spans="1:5" ht="15">
      <c r="A538" s="13">
        <v>57891</v>
      </c>
      <c r="B538" s="4">
        <f>56.7284 * CHOOSE(CONTROL!$C$9, $C$13, 100%, $E$13) + CHOOSE(CONTROL!$C$28, 0.0311, 0)</f>
        <v>56.759500000000003</v>
      </c>
      <c r="C538" s="4">
        <f>56.3651 * CHOOSE(CONTROL!$C$9, $C$13, 100%, $E$13) + CHOOSE(CONTROL!$C$28, 0.0311, 0)</f>
        <v>56.3962</v>
      </c>
      <c r="D538" s="4">
        <f>59.9671 * CHOOSE(CONTROL!$C$9, $C$13, 100%, $E$13) + CHOOSE(CONTROL!$C$28, 0, 0)</f>
        <v>59.967100000000002</v>
      </c>
      <c r="E538" s="4">
        <f>338.504602942123 * CHOOSE(CONTROL!$C$9, $C$13, 100%, $E$13) + CHOOSE(CONTROL!$C$28, 0, 0)</f>
        <v>338.50460294212297</v>
      </c>
    </row>
    <row r="539" spans="1:5" ht="15">
      <c r="A539" s="13">
        <v>57922</v>
      </c>
      <c r="B539" s="4">
        <f>56.7106 * CHOOSE(CONTROL!$C$9, $C$13, 100%, $E$13) + CHOOSE(CONTROL!$C$28, 0.0311, 0)</f>
        <v>56.741700000000002</v>
      </c>
      <c r="C539" s="4">
        <f>56.3473 * CHOOSE(CONTROL!$C$9, $C$13, 100%, $E$13) + CHOOSE(CONTROL!$C$28, 0.0311, 0)</f>
        <v>56.378399999999999</v>
      </c>
      <c r="D539" s="4">
        <f>60.926 * CHOOSE(CONTROL!$C$9, $C$13, 100%, $E$13) + CHOOSE(CONTROL!$C$28, 0, 0)</f>
        <v>60.926000000000002</v>
      </c>
      <c r="E539" s="4">
        <f>338.396936083681 * CHOOSE(CONTROL!$C$9, $C$13, 100%, $E$13) + CHOOSE(CONTROL!$C$28, 0, 0)</f>
        <v>338.396936083681</v>
      </c>
    </row>
    <row r="540" spans="1:5" ht="15">
      <c r="A540" s="13">
        <v>57953</v>
      </c>
      <c r="B540" s="4">
        <f>58.0499 * CHOOSE(CONTROL!$C$9, $C$13, 100%, $E$13) + CHOOSE(CONTROL!$C$28, 0.0311, 0)</f>
        <v>58.081000000000003</v>
      </c>
      <c r="C540" s="4">
        <f>57.6866 * CHOOSE(CONTROL!$C$9, $C$13, 100%, $E$13) + CHOOSE(CONTROL!$C$28, 0.0311, 0)</f>
        <v>57.717700000000001</v>
      </c>
      <c r="D540" s="4">
        <f>60.2928 * CHOOSE(CONTROL!$C$9, $C$13, 100%, $E$13) + CHOOSE(CONTROL!$C$28, 0, 0)</f>
        <v>60.2928</v>
      </c>
      <c r="E540" s="4">
        <f>346.498867181453 * CHOOSE(CONTROL!$C$9, $C$13, 100%, $E$13) + CHOOSE(CONTROL!$C$28, 0, 0)</f>
        <v>346.49886718145302</v>
      </c>
    </row>
    <row r="541" spans="1:5" ht="15">
      <c r="A541" s="13">
        <v>57983</v>
      </c>
      <c r="B541" s="4">
        <f>55.7674 * CHOOSE(CONTROL!$C$9, $C$13, 100%, $E$13) + CHOOSE(CONTROL!$C$28, 0.0311, 0)</f>
        <v>55.798500000000004</v>
      </c>
      <c r="C541" s="4">
        <f>55.4041 * CHOOSE(CONTROL!$C$9, $C$13, 100%, $E$13) + CHOOSE(CONTROL!$C$28, 0.0311, 0)</f>
        <v>55.435200000000002</v>
      </c>
      <c r="D541" s="4">
        <f>59.9936 * CHOOSE(CONTROL!$C$9, $C$13, 100%, $E$13) + CHOOSE(CONTROL!$C$28, 0, 0)</f>
        <v>59.993600000000001</v>
      </c>
      <c r="E541" s="4">
        <f>332.690592586247 * CHOOSE(CONTROL!$C$9, $C$13, 100%, $E$13) + CHOOSE(CONTROL!$C$28, 0, 0)</f>
        <v>332.69059258624702</v>
      </c>
    </row>
    <row r="542" spans="1:5" ht="15">
      <c r="A542" s="13">
        <v>58014</v>
      </c>
      <c r="B542" s="4">
        <f>53.9402 * CHOOSE(CONTROL!$C$9, $C$13, 100%, $E$13) + CHOOSE(CONTROL!$C$28, 0.0003, 0)</f>
        <v>53.9405</v>
      </c>
      <c r="C542" s="4">
        <f>53.5769 * CHOOSE(CONTROL!$C$9, $C$13, 100%, $E$13) + CHOOSE(CONTROL!$C$28, 0.0003, 0)</f>
        <v>53.577200000000005</v>
      </c>
      <c r="D542" s="4">
        <f>59.1924 * CHOOSE(CONTROL!$C$9, $C$13, 100%, $E$13) + CHOOSE(CONTROL!$C$28, 0, 0)</f>
        <v>59.192399999999999</v>
      </c>
      <c r="E542" s="4">
        <f>321.636795119519 * CHOOSE(CONTROL!$C$9, $C$13, 100%, $E$13) + CHOOSE(CONTROL!$C$28, 0, 0)</f>
        <v>321.63679511951898</v>
      </c>
    </row>
    <row r="543" spans="1:5" ht="15">
      <c r="A543" s="13">
        <v>58044</v>
      </c>
      <c r="B543" s="4">
        <f>52.7633 * CHOOSE(CONTROL!$C$9, $C$13, 100%, $E$13) + CHOOSE(CONTROL!$C$28, 0.0003, 0)</f>
        <v>52.763600000000004</v>
      </c>
      <c r="C543" s="4">
        <f>52.4 * CHOOSE(CONTROL!$C$9, $C$13, 100%, $E$13) + CHOOSE(CONTROL!$C$28, 0.0003, 0)</f>
        <v>52.400300000000001</v>
      </c>
      <c r="D543" s="4">
        <f>58.917 * CHOOSE(CONTROL!$C$9, $C$13, 100%, $E$13) + CHOOSE(CONTROL!$C$28, 0, 0)</f>
        <v>58.917000000000002</v>
      </c>
      <c r="E543" s="4">
        <f>314.517324105032 * CHOOSE(CONTROL!$C$9, $C$13, 100%, $E$13) + CHOOSE(CONTROL!$C$28, 0, 0)</f>
        <v>314.517324105032</v>
      </c>
    </row>
    <row r="544" spans="1:5" ht="15">
      <c r="A544" s="13">
        <v>58075</v>
      </c>
      <c r="B544" s="4">
        <f>51.9491 * CHOOSE(CONTROL!$C$9, $C$13, 100%, $E$13) + CHOOSE(CONTROL!$C$28, 0.0003, 0)</f>
        <v>51.949400000000004</v>
      </c>
      <c r="C544" s="4">
        <f>51.5858 * CHOOSE(CONTROL!$C$9, $C$13, 100%, $E$13) + CHOOSE(CONTROL!$C$28, 0.0003, 0)</f>
        <v>51.586100000000002</v>
      </c>
      <c r="D544" s="4">
        <f>56.8893 * CHOOSE(CONTROL!$C$9, $C$13, 100%, $E$13) + CHOOSE(CONTROL!$C$28, 0, 0)</f>
        <v>56.889299999999999</v>
      </c>
      <c r="E544" s="4">
        <f>309.591565331304 * CHOOSE(CONTROL!$C$9, $C$13, 100%, $E$13) + CHOOSE(CONTROL!$C$28, 0, 0)</f>
        <v>309.59156533130403</v>
      </c>
    </row>
    <row r="545" spans="1:5" ht="15">
      <c r="A545" s="13">
        <v>58106</v>
      </c>
      <c r="B545" s="4">
        <f>50.6261 * CHOOSE(CONTROL!$C$9, $C$13, 100%, $E$13) + CHOOSE(CONTROL!$C$28, 0.0003, 0)</f>
        <v>50.626400000000004</v>
      </c>
      <c r="C545" s="4">
        <f>50.2629 * CHOOSE(CONTROL!$C$9, $C$13, 100%, $E$13) + CHOOSE(CONTROL!$C$28, 0.0003, 0)</f>
        <v>50.263200000000005</v>
      </c>
      <c r="D545" s="4">
        <f>55.0256 * CHOOSE(CONTROL!$C$9, $C$13, 100%, $E$13) + CHOOSE(CONTROL!$C$28, 0, 0)</f>
        <v>55.025599999999997</v>
      </c>
      <c r="E545" s="4">
        <f>300.713658997203 * CHOOSE(CONTROL!$C$9, $C$13, 100%, $E$13) + CHOOSE(CONTROL!$C$28, 0, 0)</f>
        <v>300.71365899720303</v>
      </c>
    </row>
    <row r="546" spans="1:5" ht="15">
      <c r="A546" s="13">
        <v>58134</v>
      </c>
      <c r="B546" s="4">
        <f>51.8098 * CHOOSE(CONTROL!$C$9, $C$13, 100%, $E$13) + CHOOSE(CONTROL!$C$28, 0.0003, 0)</f>
        <v>51.810100000000006</v>
      </c>
      <c r="C546" s="4">
        <f>51.4466 * CHOOSE(CONTROL!$C$9, $C$13, 100%, $E$13) + CHOOSE(CONTROL!$C$28, 0.0003, 0)</f>
        <v>51.446899999999999</v>
      </c>
      <c r="D546" s="4">
        <f>56.9024 * CHOOSE(CONTROL!$C$9, $C$13, 100%, $E$13) + CHOOSE(CONTROL!$C$28, 0, 0)</f>
        <v>56.9024</v>
      </c>
      <c r="E546" s="4">
        <f>307.853786347095 * CHOOSE(CONTROL!$C$9, $C$13, 100%, $E$13) + CHOOSE(CONTROL!$C$28, 0, 0)</f>
        <v>307.85378634709502</v>
      </c>
    </row>
    <row r="547" spans="1:5" ht="15">
      <c r="A547" s="13">
        <v>58165</v>
      </c>
      <c r="B547" s="4">
        <f>54.9183 * CHOOSE(CONTROL!$C$9, $C$13, 100%, $E$13) + CHOOSE(CONTROL!$C$28, 0.0003, 0)</f>
        <v>54.918600000000005</v>
      </c>
      <c r="C547" s="4">
        <f>54.555 * CHOOSE(CONTROL!$C$9, $C$13, 100%, $E$13) + CHOOSE(CONTROL!$C$28, 0.0003, 0)</f>
        <v>54.555300000000003</v>
      </c>
      <c r="D547" s="4">
        <f>59.8402 * CHOOSE(CONTROL!$C$9, $C$13, 100%, $E$13) + CHOOSE(CONTROL!$C$28, 0, 0)</f>
        <v>59.840200000000003</v>
      </c>
      <c r="E547" s="4">
        <f>326.604140217321 * CHOOSE(CONTROL!$C$9, $C$13, 100%, $E$13) + CHOOSE(CONTROL!$C$28, 0, 0)</f>
        <v>326.604140217321</v>
      </c>
    </row>
    <row r="548" spans="1:5" ht="15">
      <c r="A548" s="13">
        <v>58195</v>
      </c>
      <c r="B548" s="4">
        <f>57.1269 * CHOOSE(CONTROL!$C$9, $C$13, 100%, $E$13) + CHOOSE(CONTROL!$C$28, 0.0003, 0)</f>
        <v>57.127200000000002</v>
      </c>
      <c r="C548" s="4">
        <f>56.7636 * CHOOSE(CONTROL!$C$9, $C$13, 100%, $E$13) + CHOOSE(CONTROL!$C$28, 0.0003, 0)</f>
        <v>56.7639</v>
      </c>
      <c r="D548" s="4">
        <f>61.5325 * CHOOSE(CONTROL!$C$9, $C$13, 100%, $E$13) + CHOOSE(CONTROL!$C$28, 0, 0)</f>
        <v>61.532499999999999</v>
      </c>
      <c r="E548" s="4">
        <f>339.926516523437 * CHOOSE(CONTROL!$C$9, $C$13, 100%, $E$13) + CHOOSE(CONTROL!$C$28, 0, 0)</f>
        <v>339.92651652343699</v>
      </c>
    </row>
    <row r="549" spans="1:5" ht="15">
      <c r="A549" s="13">
        <v>58226</v>
      </c>
      <c r="B549" s="4">
        <f>58.4763 * CHOOSE(CONTROL!$C$9, $C$13, 100%, $E$13) + CHOOSE(CONTROL!$C$28, 0.0311, 0)</f>
        <v>58.507400000000004</v>
      </c>
      <c r="C549" s="4">
        <f>58.113 * CHOOSE(CONTROL!$C$9, $C$13, 100%, $E$13) + CHOOSE(CONTROL!$C$28, 0.0311, 0)</f>
        <v>58.144100000000002</v>
      </c>
      <c r="D549" s="4">
        <f>60.8638 * CHOOSE(CONTROL!$C$9, $C$13, 100%, $E$13) + CHOOSE(CONTROL!$C$28, 0, 0)</f>
        <v>60.863799999999998</v>
      </c>
      <c r="E549" s="4">
        <f>348.066169153676 * CHOOSE(CONTROL!$C$9, $C$13, 100%, $E$13) + CHOOSE(CONTROL!$C$28, 0, 0)</f>
        <v>348.06616915367601</v>
      </c>
    </row>
    <row r="550" spans="1:5" ht="15">
      <c r="A550" s="13">
        <v>58256</v>
      </c>
      <c r="B550" s="4">
        <f>58.6589 * CHOOSE(CONTROL!$C$9, $C$13, 100%, $E$13) + CHOOSE(CONTROL!$C$28, 0.0311, 0)</f>
        <v>58.690000000000005</v>
      </c>
      <c r="C550" s="4">
        <f>58.2956 * CHOOSE(CONTROL!$C$9, $C$13, 100%, $E$13) + CHOOSE(CONTROL!$C$28, 0.0311, 0)</f>
        <v>58.326700000000002</v>
      </c>
      <c r="D550" s="4">
        <f>61.4084 * CHOOSE(CONTROL!$C$9, $C$13, 100%, $E$13) + CHOOSE(CONTROL!$C$28, 0, 0)</f>
        <v>61.4084</v>
      </c>
      <c r="E550" s="4">
        <f>349.1674979348 * CHOOSE(CONTROL!$C$9, $C$13, 100%, $E$13) + CHOOSE(CONTROL!$C$28, 0, 0)</f>
        <v>349.1674979348</v>
      </c>
    </row>
    <row r="551" spans="1:5" ht="15">
      <c r="A551" s="13">
        <v>58287</v>
      </c>
      <c r="B551" s="4">
        <f>58.6405 * CHOOSE(CONTROL!$C$9, $C$13, 100%, $E$13) + CHOOSE(CONTROL!$C$28, 0.0311, 0)</f>
        <v>58.671600000000005</v>
      </c>
      <c r="C551" s="4">
        <f>58.2772 * CHOOSE(CONTROL!$C$9, $C$13, 100%, $E$13) + CHOOSE(CONTROL!$C$28, 0.0311, 0)</f>
        <v>58.308300000000003</v>
      </c>
      <c r="D551" s="4">
        <f>62.3911 * CHOOSE(CONTROL!$C$9, $C$13, 100%, $E$13) + CHOOSE(CONTROL!$C$28, 0, 0)</f>
        <v>62.391100000000002</v>
      </c>
      <c r="E551" s="4">
        <f>349.056439570317 * CHOOSE(CONTROL!$C$9, $C$13, 100%, $E$13) + CHOOSE(CONTROL!$C$28, 0, 0)</f>
        <v>349.05643957031702</v>
      </c>
    </row>
    <row r="552" spans="1:5" ht="15">
      <c r="A552" s="13">
        <v>58318</v>
      </c>
      <c r="B552" s="4">
        <f>60.0259 * CHOOSE(CONTROL!$C$9, $C$13, 100%, $E$13) + CHOOSE(CONTROL!$C$28, 0.0311, 0)</f>
        <v>60.057000000000002</v>
      </c>
      <c r="C552" s="4">
        <f>59.6626 * CHOOSE(CONTROL!$C$9, $C$13, 100%, $E$13) + CHOOSE(CONTROL!$C$28, 0.0311, 0)</f>
        <v>59.6937</v>
      </c>
      <c r="D552" s="4">
        <f>61.7421 * CHOOSE(CONTROL!$C$9, $C$13, 100%, $E$13) + CHOOSE(CONTROL!$C$28, 0, 0)</f>
        <v>61.742100000000001</v>
      </c>
      <c r="E552" s="4">
        <f>357.413581497668 * CHOOSE(CONTROL!$C$9, $C$13, 100%, $E$13) + CHOOSE(CONTROL!$C$28, 0, 0)</f>
        <v>357.41358149766802</v>
      </c>
    </row>
    <row r="553" spans="1:5" ht="15">
      <c r="A553" s="13">
        <v>58348</v>
      </c>
      <c r="B553" s="4">
        <f>57.6647 * CHOOSE(CONTROL!$C$9, $C$13, 100%, $E$13) + CHOOSE(CONTROL!$C$28, 0.0311, 0)</f>
        <v>57.695800000000006</v>
      </c>
      <c r="C553" s="4">
        <f>57.3014 * CHOOSE(CONTROL!$C$9, $C$13, 100%, $E$13) + CHOOSE(CONTROL!$C$28, 0.0311, 0)</f>
        <v>57.332500000000003</v>
      </c>
      <c r="D553" s="4">
        <f>61.4355 * CHOOSE(CONTROL!$C$9, $C$13, 100%, $E$13) + CHOOSE(CONTROL!$C$28, 0, 0)</f>
        <v>61.435499999999998</v>
      </c>
      <c r="E553" s="4">
        <f>343.170346252714 * CHOOSE(CONTROL!$C$9, $C$13, 100%, $E$13) + CHOOSE(CONTROL!$C$28, 0, 0)</f>
        <v>343.17034625271401</v>
      </c>
    </row>
    <row r="554" spans="1:5" ht="15">
      <c r="A554" s="13">
        <v>58379</v>
      </c>
      <c r="B554" s="4">
        <f>55.7744 * CHOOSE(CONTROL!$C$9, $C$13, 100%, $E$13) + CHOOSE(CONTROL!$C$28, 0.0003, 0)</f>
        <v>55.774700000000003</v>
      </c>
      <c r="C554" s="4">
        <f>55.4111 * CHOOSE(CONTROL!$C$9, $C$13, 100%, $E$13) + CHOOSE(CONTROL!$C$28, 0.0003, 0)</f>
        <v>55.4114</v>
      </c>
      <c r="D554" s="4">
        <f>60.6145 * CHOOSE(CONTROL!$C$9, $C$13, 100%, $E$13) + CHOOSE(CONTROL!$C$28, 0, 0)</f>
        <v>60.6145</v>
      </c>
      <c r="E554" s="4">
        <f>331.768354165784 * CHOOSE(CONTROL!$C$9, $C$13, 100%, $E$13) + CHOOSE(CONTROL!$C$28, 0, 0)</f>
        <v>331.76835416578399</v>
      </c>
    </row>
    <row r="555" spans="1:5" ht="15">
      <c r="A555" s="13">
        <v>58409</v>
      </c>
      <c r="B555" s="4">
        <f>54.557 * CHOOSE(CONTROL!$C$9, $C$13, 100%, $E$13) + CHOOSE(CONTROL!$C$28, 0.0003, 0)</f>
        <v>54.557300000000005</v>
      </c>
      <c r="C555" s="4">
        <f>54.1937 * CHOOSE(CONTROL!$C$9, $C$13, 100%, $E$13) + CHOOSE(CONTROL!$C$28, 0.0003, 0)</f>
        <v>54.194000000000003</v>
      </c>
      <c r="D555" s="4">
        <f>60.3322 * CHOOSE(CONTROL!$C$9, $C$13, 100%, $E$13) + CHOOSE(CONTROL!$C$28, 0, 0)</f>
        <v>60.3322</v>
      </c>
      <c r="E555" s="4">
        <f>324.42461981434 * CHOOSE(CONTROL!$C$9, $C$13, 100%, $E$13) + CHOOSE(CONTROL!$C$28, 0, 0)</f>
        <v>324.42461981434002</v>
      </c>
    </row>
    <row r="556" spans="1:5" ht="15">
      <c r="A556" s="13">
        <v>58440</v>
      </c>
      <c r="B556" s="4">
        <f>53.7146 * CHOOSE(CONTROL!$C$9, $C$13, 100%, $E$13) + CHOOSE(CONTROL!$C$28, 0.0003, 0)</f>
        <v>53.7149</v>
      </c>
      <c r="C556" s="4">
        <f>53.3514 * CHOOSE(CONTROL!$C$9, $C$13, 100%, $E$13) + CHOOSE(CONTROL!$C$28, 0.0003, 0)</f>
        <v>53.351700000000001</v>
      </c>
      <c r="D556" s="4">
        <f>58.2542 * CHOOSE(CONTROL!$C$9, $C$13, 100%, $E$13) + CHOOSE(CONTROL!$C$28, 0, 0)</f>
        <v>58.254199999999997</v>
      </c>
      <c r="E556" s="4">
        <f>319.34369963924 * CHOOSE(CONTROL!$C$9, $C$13, 100%, $E$13) + CHOOSE(CONTROL!$C$28, 0, 0)</f>
        <v>319.34369963924001</v>
      </c>
    </row>
    <row r="557" spans="1:5" ht="15">
      <c r="A557" s="13">
        <v>58471</v>
      </c>
      <c r="B557" s="4">
        <f>52.3461 * CHOOSE(CONTROL!$C$9, $C$13, 100%, $E$13) + CHOOSE(CONTROL!$C$28, 0.0003, 0)</f>
        <v>52.346400000000003</v>
      </c>
      <c r="C557" s="4">
        <f>51.9828 * CHOOSE(CONTROL!$C$9, $C$13, 100%, $E$13) + CHOOSE(CONTROL!$C$28, 0.0003, 0)</f>
        <v>51.9831</v>
      </c>
      <c r="D557" s="4">
        <f>56.3444 * CHOOSE(CONTROL!$C$9, $C$13, 100%, $E$13) + CHOOSE(CONTROL!$C$28, 0, 0)</f>
        <v>56.3444</v>
      </c>
      <c r="E557" s="4">
        <f>310.186139255615 * CHOOSE(CONTROL!$C$9, $C$13, 100%, $E$13) + CHOOSE(CONTROL!$C$28, 0, 0)</f>
        <v>310.18613925561499</v>
      </c>
    </row>
    <row r="558" spans="1:5" ht="15">
      <c r="A558" s="13">
        <v>58499</v>
      </c>
      <c r="B558" s="4">
        <f>53.5706 * CHOOSE(CONTROL!$C$9, $C$13, 100%, $E$13) + CHOOSE(CONTROL!$C$28, 0.0003, 0)</f>
        <v>53.570900000000002</v>
      </c>
      <c r="C558" s="4">
        <f>53.2073 * CHOOSE(CONTROL!$C$9, $C$13, 100%, $E$13) + CHOOSE(CONTROL!$C$28, 0.0003, 0)</f>
        <v>53.207599999999999</v>
      </c>
      <c r="D558" s="4">
        <f>58.2676 * CHOOSE(CONTROL!$C$9, $C$13, 100%, $E$13) + CHOOSE(CONTROL!$C$28, 0, 0)</f>
        <v>58.267600000000002</v>
      </c>
      <c r="E558" s="4">
        <f>317.551180617028 * CHOOSE(CONTROL!$C$9, $C$13, 100%, $E$13) + CHOOSE(CONTROL!$C$28, 0, 0)</f>
        <v>317.55118061702802</v>
      </c>
    </row>
    <row r="559" spans="1:5" ht="15">
      <c r="A559" s="13">
        <v>58531</v>
      </c>
      <c r="B559" s="4">
        <f>56.7863 * CHOOSE(CONTROL!$C$9, $C$13, 100%, $E$13) + CHOOSE(CONTROL!$C$28, 0.0003, 0)</f>
        <v>56.7866</v>
      </c>
      <c r="C559" s="4">
        <f>56.423 * CHOOSE(CONTROL!$C$9, $C$13, 100%, $E$13) + CHOOSE(CONTROL!$C$28, 0.0003, 0)</f>
        <v>56.423300000000005</v>
      </c>
      <c r="D559" s="4">
        <f>61.2783 * CHOOSE(CONTROL!$C$9, $C$13, 100%, $E$13) + CHOOSE(CONTROL!$C$28, 0, 0)</f>
        <v>61.278300000000002</v>
      </c>
      <c r="E559" s="4">
        <f>336.892170634167 * CHOOSE(CONTROL!$C$9, $C$13, 100%, $E$13) + CHOOSE(CONTROL!$C$28, 0, 0)</f>
        <v>336.89217063416697</v>
      </c>
    </row>
    <row r="560" spans="1:5" ht="15">
      <c r="A560" s="13">
        <v>58561</v>
      </c>
      <c r="B560" s="4">
        <f>59.0711 * CHOOSE(CONTROL!$C$9, $C$13, 100%, $E$13) + CHOOSE(CONTROL!$C$28, 0.0003, 0)</f>
        <v>59.071400000000004</v>
      </c>
      <c r="C560" s="4">
        <f>58.7078 * CHOOSE(CONTROL!$C$9, $C$13, 100%, $E$13) + CHOOSE(CONTROL!$C$28, 0.0003, 0)</f>
        <v>58.708100000000002</v>
      </c>
      <c r="D560" s="4">
        <f>63.0126 * CHOOSE(CONTROL!$C$9, $C$13, 100%, $E$13) + CHOOSE(CONTROL!$C$28, 0, 0)</f>
        <v>63.012599999999999</v>
      </c>
      <c r="E560" s="4">
        <f>350.634201793925 * CHOOSE(CONTROL!$C$9, $C$13, 100%, $E$13) + CHOOSE(CONTROL!$C$28, 0, 0)</f>
        <v>350.634201793925</v>
      </c>
    </row>
    <row r="561" spans="1:5" ht="15">
      <c r="A561" s="13">
        <v>58592</v>
      </c>
      <c r="B561" s="4">
        <f>60.467 * CHOOSE(CONTROL!$C$9, $C$13, 100%, $E$13) + CHOOSE(CONTROL!$C$28, 0.0311, 0)</f>
        <v>60.498100000000001</v>
      </c>
      <c r="C561" s="4">
        <f>60.1038 * CHOOSE(CONTROL!$C$9, $C$13, 100%, $E$13) + CHOOSE(CONTROL!$C$28, 0.0311, 0)</f>
        <v>60.134900000000002</v>
      </c>
      <c r="D561" s="4">
        <f>62.3273 * CHOOSE(CONTROL!$C$9, $C$13, 100%, $E$13) + CHOOSE(CONTROL!$C$28, 0, 0)</f>
        <v>62.327300000000001</v>
      </c>
      <c r="E561" s="4">
        <f>359.030253482017 * CHOOSE(CONTROL!$C$9, $C$13, 100%, $E$13) + CHOOSE(CONTROL!$C$28, 0, 0)</f>
        <v>359.03025348201697</v>
      </c>
    </row>
    <row r="562" spans="1:5" ht="15">
      <c r="A562" s="13">
        <v>58622</v>
      </c>
      <c r="B562" s="4">
        <f>60.6559 * CHOOSE(CONTROL!$C$9, $C$13, 100%, $E$13) + CHOOSE(CONTROL!$C$28, 0.0311, 0)</f>
        <v>60.687000000000005</v>
      </c>
      <c r="C562" s="4">
        <f>60.2926 * CHOOSE(CONTROL!$C$9, $C$13, 100%, $E$13) + CHOOSE(CONTROL!$C$28, 0.0311, 0)</f>
        <v>60.323700000000002</v>
      </c>
      <c r="D562" s="4">
        <f>62.8854 * CHOOSE(CONTROL!$C$9, $C$13, 100%, $E$13) + CHOOSE(CONTROL!$C$28, 0, 0)</f>
        <v>62.885399999999997</v>
      </c>
      <c r="E562" s="4">
        <f>360.166274119746 * CHOOSE(CONTROL!$C$9, $C$13, 100%, $E$13) + CHOOSE(CONTROL!$C$28, 0, 0)</f>
        <v>360.16627411974599</v>
      </c>
    </row>
    <row r="563" spans="1:5" ht="15">
      <c r="A563" s="13">
        <v>58653</v>
      </c>
      <c r="B563" s="4">
        <f>60.6369 * CHOOSE(CONTROL!$C$9, $C$13, 100%, $E$13) + CHOOSE(CONTROL!$C$28, 0.0311, 0)</f>
        <v>60.667999999999999</v>
      </c>
      <c r="C563" s="4">
        <f>60.2736 * CHOOSE(CONTROL!$C$9, $C$13, 100%, $E$13) + CHOOSE(CONTROL!$C$28, 0.0311, 0)</f>
        <v>60.304700000000004</v>
      </c>
      <c r="D563" s="4">
        <f>63.8925 * CHOOSE(CONTROL!$C$9, $C$13, 100%, $E$13) + CHOOSE(CONTROL!$C$28, 0, 0)</f>
        <v>63.892499999999998</v>
      </c>
      <c r="E563" s="4">
        <f>360.051717416782 * CHOOSE(CONTROL!$C$9, $C$13, 100%, $E$13) + CHOOSE(CONTROL!$C$28, 0, 0)</f>
        <v>360.05171741678203</v>
      </c>
    </row>
    <row r="564" spans="1:5" ht="15">
      <c r="A564" s="13">
        <v>58684</v>
      </c>
      <c r="B564" s="4">
        <f>62.0701 * CHOOSE(CONTROL!$C$9, $C$13, 100%, $E$13) + CHOOSE(CONTROL!$C$28, 0.0311, 0)</f>
        <v>62.101199999999999</v>
      </c>
      <c r="C564" s="4">
        <f>61.7068 * CHOOSE(CONTROL!$C$9, $C$13, 100%, $E$13) + CHOOSE(CONTROL!$C$28, 0.0311, 0)</f>
        <v>61.737900000000003</v>
      </c>
      <c r="D564" s="4">
        <f>63.2274 * CHOOSE(CONTROL!$C$9, $C$13, 100%, $E$13) + CHOOSE(CONTROL!$C$28, 0, 0)</f>
        <v>63.227400000000003</v>
      </c>
      <c r="E564" s="4">
        <f>368.672109314845 * CHOOSE(CONTROL!$C$9, $C$13, 100%, $E$13) + CHOOSE(CONTROL!$C$28, 0, 0)</f>
        <v>368.67210931484499</v>
      </c>
    </row>
    <row r="565" spans="1:5" ht="15">
      <c r="A565" s="13">
        <v>58714</v>
      </c>
      <c r="B565" s="4">
        <f>59.6274 * CHOOSE(CONTROL!$C$9, $C$13, 100%, $E$13) + CHOOSE(CONTROL!$C$28, 0.0311, 0)</f>
        <v>59.658500000000004</v>
      </c>
      <c r="C565" s="4">
        <f>59.2641 * CHOOSE(CONTROL!$C$9, $C$13, 100%, $E$13) + CHOOSE(CONTROL!$C$28, 0.0311, 0)</f>
        <v>59.295200000000001</v>
      </c>
      <c r="D565" s="4">
        <f>62.9132 * CHOOSE(CONTROL!$C$9, $C$13, 100%, $E$13) + CHOOSE(CONTROL!$C$28, 0, 0)</f>
        <v>62.913200000000003</v>
      </c>
      <c r="E565" s="4">
        <f>353.980212159674 * CHOOSE(CONTROL!$C$9, $C$13, 100%, $E$13) + CHOOSE(CONTROL!$C$28, 0, 0)</f>
        <v>353.98021215967401</v>
      </c>
    </row>
    <row r="566" spans="1:5" ht="15">
      <c r="A566" s="13">
        <v>58745</v>
      </c>
      <c r="B566" s="4">
        <f>57.672 * CHOOSE(CONTROL!$C$9, $C$13, 100%, $E$13) + CHOOSE(CONTROL!$C$28, 0.0003, 0)</f>
        <v>57.6723</v>
      </c>
      <c r="C566" s="4">
        <f>57.3087 * CHOOSE(CONTROL!$C$9, $C$13, 100%, $E$13) + CHOOSE(CONTROL!$C$28, 0.0003, 0)</f>
        <v>57.309000000000005</v>
      </c>
      <c r="D566" s="4">
        <f>62.0718 * CHOOSE(CONTROL!$C$9, $C$13, 100%, $E$13) + CHOOSE(CONTROL!$C$28, 0, 0)</f>
        <v>62.071800000000003</v>
      </c>
      <c r="E566" s="4">
        <f>342.219057322006 * CHOOSE(CONTROL!$C$9, $C$13, 100%, $E$13) + CHOOSE(CONTROL!$C$28, 0, 0)</f>
        <v>342.21905732200599</v>
      </c>
    </row>
    <row r="567" spans="1:5" ht="15">
      <c r="A567" s="13">
        <v>58775</v>
      </c>
      <c r="B567" s="4">
        <f>56.4125 * CHOOSE(CONTROL!$C$9, $C$13, 100%, $E$13) + CHOOSE(CONTROL!$C$28, 0.0003, 0)</f>
        <v>56.412800000000004</v>
      </c>
      <c r="C567" s="4">
        <f>56.0492 * CHOOSE(CONTROL!$C$9, $C$13, 100%, $E$13) + CHOOSE(CONTROL!$C$28, 0.0003, 0)</f>
        <v>56.049500000000002</v>
      </c>
      <c r="D567" s="4">
        <f>61.7826 * CHOOSE(CONTROL!$C$9, $C$13, 100%, $E$13) + CHOOSE(CONTROL!$C$28, 0, 0)</f>
        <v>61.782600000000002</v>
      </c>
      <c r="E567" s="4">
        <f>334.643995338492 * CHOOSE(CONTROL!$C$9, $C$13, 100%, $E$13) + CHOOSE(CONTROL!$C$28, 0, 0)</f>
        <v>334.643995338492</v>
      </c>
    </row>
    <row r="568" spans="1:5" ht="15">
      <c r="A568" s="13">
        <v>58806</v>
      </c>
      <c r="B568" s="4">
        <f>55.5411 * CHOOSE(CONTROL!$C$9, $C$13, 100%, $E$13) + CHOOSE(CONTROL!$C$28, 0.0003, 0)</f>
        <v>55.541400000000003</v>
      </c>
      <c r="C568" s="4">
        <f>55.1778 * CHOOSE(CONTROL!$C$9, $C$13, 100%, $E$13) + CHOOSE(CONTROL!$C$28, 0.0003, 0)</f>
        <v>55.178100000000001</v>
      </c>
      <c r="D568" s="4">
        <f>59.653 * CHOOSE(CONTROL!$C$9, $C$13, 100%, $E$13) + CHOOSE(CONTROL!$C$28, 0, 0)</f>
        <v>59.652999999999999</v>
      </c>
      <c r="E568" s="4">
        <f>329.403026177876 * CHOOSE(CONTROL!$C$9, $C$13, 100%, $E$13) + CHOOSE(CONTROL!$C$28, 0, 0)</f>
        <v>329.40302617787597</v>
      </c>
    </row>
    <row r="569" spans="1:5" ht="15">
      <c r="A569" s="13">
        <v>58837</v>
      </c>
      <c r="B569" s="4">
        <f>54.1253 * CHOOSE(CONTROL!$C$9, $C$13, 100%, $E$13) + CHOOSE(CONTROL!$C$28, 0.0003, 0)</f>
        <v>54.125600000000006</v>
      </c>
      <c r="C569" s="4">
        <f>53.762 * CHOOSE(CONTROL!$C$9, $C$13, 100%, $E$13) + CHOOSE(CONTROL!$C$28, 0.0003, 0)</f>
        <v>53.762300000000003</v>
      </c>
      <c r="D569" s="4">
        <f>57.6958 * CHOOSE(CONTROL!$C$9, $C$13, 100%, $E$13) + CHOOSE(CONTROL!$C$28, 0, 0)</f>
        <v>57.695799999999998</v>
      </c>
      <c r="E569" s="4">
        <f>319.957002642167 * CHOOSE(CONTROL!$C$9, $C$13, 100%, $E$13) + CHOOSE(CONTROL!$C$28, 0, 0)</f>
        <v>319.95700264216703</v>
      </c>
    </row>
    <row r="570" spans="1:5" ht="15">
      <c r="A570" s="13">
        <v>58865</v>
      </c>
      <c r="B570" s="4">
        <f>55.3921 * CHOOSE(CONTROL!$C$9, $C$13, 100%, $E$13) + CHOOSE(CONTROL!$C$28, 0.0003, 0)</f>
        <v>55.392400000000002</v>
      </c>
      <c r="C570" s="4">
        <f>55.0288 * CHOOSE(CONTROL!$C$9, $C$13, 100%, $E$13) + CHOOSE(CONTROL!$C$28, 0.0003, 0)</f>
        <v>55.0291</v>
      </c>
      <c r="D570" s="4">
        <f>59.6667 * CHOOSE(CONTROL!$C$9, $C$13, 100%, $E$13) + CHOOSE(CONTROL!$C$28, 0, 0)</f>
        <v>59.666699999999999</v>
      </c>
      <c r="E570" s="4">
        <f>327.554042806464 * CHOOSE(CONTROL!$C$9, $C$13, 100%, $E$13) + CHOOSE(CONTROL!$C$28, 0, 0)</f>
        <v>327.554042806464</v>
      </c>
    </row>
    <row r="571" spans="1:5" ht="15">
      <c r="A571" s="13">
        <v>58893</v>
      </c>
      <c r="B571" s="4">
        <f>58.7187 * CHOOSE(CONTROL!$C$9, $C$13, 100%, $E$13) + CHOOSE(CONTROL!$C$28, 0.0003, 0)</f>
        <v>58.719000000000001</v>
      </c>
      <c r="C571" s="4">
        <f>58.3555 * CHOOSE(CONTROL!$C$9, $C$13, 100%, $E$13) + CHOOSE(CONTROL!$C$28, 0.0003, 0)</f>
        <v>58.355800000000002</v>
      </c>
      <c r="D571" s="4">
        <f>62.7521 * CHOOSE(CONTROL!$C$9, $C$13, 100%, $E$13) + CHOOSE(CONTROL!$C$28, 0, 0)</f>
        <v>62.752099999999999</v>
      </c>
      <c r="E571" s="4">
        <f>347.504274009143 * CHOOSE(CONTROL!$C$9, $C$13, 100%, $E$13) + CHOOSE(CONTROL!$C$28, 0, 0)</f>
        <v>347.50427400914299</v>
      </c>
    </row>
    <row r="572" spans="1:5" ht="15">
      <c r="A572" s="13">
        <v>58926</v>
      </c>
      <c r="B572" s="4">
        <f>61.0824 * CHOOSE(CONTROL!$C$9, $C$13, 100%, $E$13) + CHOOSE(CONTROL!$C$28, 0.0003, 0)</f>
        <v>61.082700000000003</v>
      </c>
      <c r="C572" s="4">
        <f>60.7191 * CHOOSE(CONTROL!$C$9, $C$13, 100%, $E$13) + CHOOSE(CONTROL!$C$28, 0.0003, 0)</f>
        <v>60.7194</v>
      </c>
      <c r="D572" s="4">
        <f>64.5294 * CHOOSE(CONTROL!$C$9, $C$13, 100%, $E$13) + CHOOSE(CONTROL!$C$28, 0, 0)</f>
        <v>64.529399999999995</v>
      </c>
      <c r="E572" s="4">
        <f>361.679179150434 * CHOOSE(CONTROL!$C$9, $C$13, 100%, $E$13) + CHOOSE(CONTROL!$C$28, 0, 0)</f>
        <v>361.67917915043398</v>
      </c>
    </row>
    <row r="573" spans="1:5" ht="15">
      <c r="A573" s="13">
        <v>58957</v>
      </c>
      <c r="B573" s="4">
        <f>62.5265 * CHOOSE(CONTROL!$C$9, $C$13, 100%, $E$13) + CHOOSE(CONTROL!$C$28, 0.0311, 0)</f>
        <v>62.557600000000001</v>
      </c>
      <c r="C573" s="4">
        <f>62.1632 * CHOOSE(CONTROL!$C$9, $C$13, 100%, $E$13) + CHOOSE(CONTROL!$C$28, 0.0311, 0)</f>
        <v>62.194300000000005</v>
      </c>
      <c r="D573" s="4">
        <f>63.8271 * CHOOSE(CONTROL!$C$9, $C$13, 100%, $E$13) + CHOOSE(CONTROL!$C$28, 0, 0)</f>
        <v>63.827100000000002</v>
      </c>
      <c r="E573" s="4">
        <f>370.3397064667 * CHOOSE(CONTROL!$C$9, $C$13, 100%, $E$13) + CHOOSE(CONTROL!$C$28, 0, 0)</f>
        <v>370.33970646670002</v>
      </c>
    </row>
    <row r="574" spans="1:5" ht="15">
      <c r="A574" s="13">
        <v>58987</v>
      </c>
      <c r="B574" s="4">
        <f>62.7219 * CHOOSE(CONTROL!$C$9, $C$13, 100%, $E$13) + CHOOSE(CONTROL!$C$28, 0.0311, 0)</f>
        <v>62.753</v>
      </c>
      <c r="C574" s="4">
        <f>62.3586 * CHOOSE(CONTROL!$C$9, $C$13, 100%, $E$13) + CHOOSE(CONTROL!$C$28, 0.0311, 0)</f>
        <v>62.389700000000005</v>
      </c>
      <c r="D574" s="4">
        <f>64.399 * CHOOSE(CONTROL!$C$9, $C$13, 100%, $E$13) + CHOOSE(CONTROL!$C$28, 0, 0)</f>
        <v>64.399000000000001</v>
      </c>
      <c r="E574" s="4">
        <f>371.511511754518 * CHOOSE(CONTROL!$C$9, $C$13, 100%, $E$13) + CHOOSE(CONTROL!$C$28, 0, 0)</f>
        <v>371.51151175451798</v>
      </c>
    </row>
    <row r="575" spans="1:5" ht="15">
      <c r="A575" s="13">
        <v>59018</v>
      </c>
      <c r="B575" s="4">
        <f>62.7022 * CHOOSE(CONTROL!$C$9, $C$13, 100%, $E$13) + CHOOSE(CONTROL!$C$28, 0.0311, 0)</f>
        <v>62.7333</v>
      </c>
      <c r="C575" s="4">
        <f>62.3389 * CHOOSE(CONTROL!$C$9, $C$13, 100%, $E$13) + CHOOSE(CONTROL!$C$28, 0.0311, 0)</f>
        <v>62.370000000000005</v>
      </c>
      <c r="D575" s="4">
        <f>65.4311 * CHOOSE(CONTROL!$C$9, $C$13, 100%, $E$13) + CHOOSE(CONTROL!$C$28, 0, 0)</f>
        <v>65.431100000000001</v>
      </c>
      <c r="E575" s="4">
        <f>371.39334651541 * CHOOSE(CONTROL!$C$9, $C$13, 100%, $E$13) + CHOOSE(CONTROL!$C$28, 0, 0)</f>
        <v>371.39334651540997</v>
      </c>
    </row>
    <row r="576" spans="1:5" ht="15">
      <c r="A576" s="13">
        <v>59049</v>
      </c>
      <c r="B576" s="4">
        <f>64.1849 * CHOOSE(CONTROL!$C$9, $C$13, 100%, $E$13) + CHOOSE(CONTROL!$C$28, 0.0311, 0)</f>
        <v>64.215999999999994</v>
      </c>
      <c r="C576" s="4">
        <f>63.8216 * CHOOSE(CONTROL!$C$9, $C$13, 100%, $E$13) + CHOOSE(CONTROL!$C$28, 0.0311, 0)</f>
        <v>63.852699999999999</v>
      </c>
      <c r="D576" s="4">
        <f>64.7495 * CHOOSE(CONTROL!$C$9, $C$13, 100%, $E$13) + CHOOSE(CONTROL!$C$28, 0, 0)</f>
        <v>64.749499999999998</v>
      </c>
      <c r="E576" s="4">
        <f>380.285280758263 * CHOOSE(CONTROL!$C$9, $C$13, 100%, $E$13) + CHOOSE(CONTROL!$C$28, 0, 0)</f>
        <v>380.28528075826301</v>
      </c>
    </row>
    <row r="577" spans="1:5" ht="15">
      <c r="A577" s="13">
        <v>59079</v>
      </c>
      <c r="B577" s="4">
        <f>61.6579 * CHOOSE(CONTROL!$C$9, $C$13, 100%, $E$13) + CHOOSE(CONTROL!$C$28, 0.0311, 0)</f>
        <v>61.689</v>
      </c>
      <c r="C577" s="4">
        <f>61.2946 * CHOOSE(CONTROL!$C$9, $C$13, 100%, $E$13) + CHOOSE(CONTROL!$C$28, 0.0311, 0)</f>
        <v>61.325700000000005</v>
      </c>
      <c r="D577" s="4">
        <f>64.4275 * CHOOSE(CONTROL!$C$9, $C$13, 100%, $E$13) + CHOOSE(CONTROL!$C$28, 0, 0)</f>
        <v>64.427499999999995</v>
      </c>
      <c r="E577" s="4">
        <f>365.130588842704 * CHOOSE(CONTROL!$C$9, $C$13, 100%, $E$13) + CHOOSE(CONTROL!$C$28, 0, 0)</f>
        <v>365.13058884270401</v>
      </c>
    </row>
    <row r="578" spans="1:5" ht="15">
      <c r="A578" s="13">
        <v>59110</v>
      </c>
      <c r="B578" s="4">
        <f>59.635 * CHOOSE(CONTROL!$C$9, $C$13, 100%, $E$13) + CHOOSE(CONTROL!$C$28, 0.0003, 0)</f>
        <v>59.635300000000001</v>
      </c>
      <c r="C578" s="4">
        <f>59.2717 * CHOOSE(CONTROL!$C$9, $C$13, 100%, $E$13) + CHOOSE(CONTROL!$C$28, 0.0003, 0)</f>
        <v>59.272000000000006</v>
      </c>
      <c r="D578" s="4">
        <f>63.5653 * CHOOSE(CONTROL!$C$9, $C$13, 100%, $E$13) + CHOOSE(CONTROL!$C$28, 0, 0)</f>
        <v>63.565300000000001</v>
      </c>
      <c r="E578" s="4">
        <f>352.99895762765 * CHOOSE(CONTROL!$C$9, $C$13, 100%, $E$13) + CHOOSE(CONTROL!$C$28, 0, 0)</f>
        <v>352.99895762764999</v>
      </c>
    </row>
    <row r="579" spans="1:5" ht="15">
      <c r="A579" s="13">
        <v>59140</v>
      </c>
      <c r="B579" s="4">
        <f>58.332 * CHOOSE(CONTROL!$C$9, $C$13, 100%, $E$13) + CHOOSE(CONTROL!$C$28, 0.0003, 0)</f>
        <v>58.332300000000004</v>
      </c>
      <c r="C579" s="4">
        <f>57.9688 * CHOOSE(CONTROL!$C$9, $C$13, 100%, $E$13) + CHOOSE(CONTROL!$C$28, 0.0003, 0)</f>
        <v>57.969100000000005</v>
      </c>
      <c r="D579" s="4">
        <f>63.2688 * CHOOSE(CONTROL!$C$9, $C$13, 100%, $E$13) + CHOOSE(CONTROL!$C$28, 0, 0)</f>
        <v>63.268799999999999</v>
      </c>
      <c r="E579" s="4">
        <f>345.185281191655 * CHOOSE(CONTROL!$C$9, $C$13, 100%, $E$13) + CHOOSE(CONTROL!$C$28, 0, 0)</f>
        <v>345.18528119165501</v>
      </c>
    </row>
    <row r="580" spans="1:5" ht="15">
      <c r="A580" s="13">
        <v>59171</v>
      </c>
      <c r="B580" s="4">
        <f>57.4306 * CHOOSE(CONTROL!$C$9, $C$13, 100%, $E$13) + CHOOSE(CONTROL!$C$28, 0.0003, 0)</f>
        <v>57.430900000000001</v>
      </c>
      <c r="C580" s="4">
        <f>57.0673 * CHOOSE(CONTROL!$C$9, $C$13, 100%, $E$13) + CHOOSE(CONTROL!$C$28, 0.0003, 0)</f>
        <v>57.067600000000006</v>
      </c>
      <c r="D580" s="4">
        <f>61.0865 * CHOOSE(CONTROL!$C$9, $C$13, 100%, $E$13) + CHOOSE(CONTROL!$C$28, 0, 0)</f>
        <v>61.086500000000001</v>
      </c>
      <c r="E580" s="4">
        <f>339.779221502479 * CHOOSE(CONTROL!$C$9, $C$13, 100%, $E$13) + CHOOSE(CONTROL!$C$28, 0, 0)</f>
        <v>339.779221502479</v>
      </c>
    </row>
    <row r="581" spans="1:5" ht="15">
      <c r="A581" s="13">
        <v>59202</v>
      </c>
      <c r="B581" s="4">
        <f>55.9659 * CHOOSE(CONTROL!$C$9, $C$13, 100%, $E$13) + CHOOSE(CONTROL!$C$28, 0.0003, 0)</f>
        <v>55.966200000000001</v>
      </c>
      <c r="C581" s="4">
        <f>55.6027 * CHOOSE(CONTROL!$C$9, $C$13, 100%, $E$13) + CHOOSE(CONTROL!$C$28, 0.0003, 0)</f>
        <v>55.603000000000002</v>
      </c>
      <c r="D581" s="4">
        <f>59.0807 * CHOOSE(CONTROL!$C$9, $C$13, 100%, $E$13) + CHOOSE(CONTROL!$C$28, 0, 0)</f>
        <v>59.0807</v>
      </c>
      <c r="E581" s="4">
        <f>330.035648225395 * CHOOSE(CONTROL!$C$9, $C$13, 100%, $E$13) + CHOOSE(CONTROL!$C$28, 0, 0)</f>
        <v>330.03564822539499</v>
      </c>
    </row>
    <row r="582" spans="1:5" ht="15">
      <c r="A582" s="13">
        <v>59230</v>
      </c>
      <c r="B582" s="4">
        <f>57.2764 * CHOOSE(CONTROL!$C$9, $C$13, 100%, $E$13) + CHOOSE(CONTROL!$C$28, 0.0003, 0)</f>
        <v>57.276700000000005</v>
      </c>
      <c r="C582" s="4">
        <f>56.9132 * CHOOSE(CONTROL!$C$9, $C$13, 100%, $E$13) + CHOOSE(CONTROL!$C$28, 0.0003, 0)</f>
        <v>56.913500000000006</v>
      </c>
      <c r="D582" s="4">
        <f>61.1005 * CHOOSE(CONTROL!$C$9, $C$13, 100%, $E$13) + CHOOSE(CONTROL!$C$28, 0, 0)</f>
        <v>61.100499999999997</v>
      </c>
      <c r="E582" s="4">
        <f>337.871995154868 * CHOOSE(CONTROL!$C$9, $C$13, 100%, $E$13) + CHOOSE(CONTROL!$C$28, 0, 0)</f>
        <v>337.87199515486799</v>
      </c>
    </row>
    <row r="583" spans="1:5" ht="15">
      <c r="A583" s="13">
        <v>59261</v>
      </c>
      <c r="B583" s="4">
        <f>60.7178 * CHOOSE(CONTROL!$C$9, $C$13, 100%, $E$13) + CHOOSE(CONTROL!$C$28, 0.0003, 0)</f>
        <v>60.7181</v>
      </c>
      <c r="C583" s="4">
        <f>60.3546 * CHOOSE(CONTROL!$C$9, $C$13, 100%, $E$13) + CHOOSE(CONTROL!$C$28, 0.0003, 0)</f>
        <v>60.354900000000001</v>
      </c>
      <c r="D583" s="4">
        <f>64.2624 * CHOOSE(CONTROL!$C$9, $C$13, 100%, $E$13) + CHOOSE(CONTROL!$C$28, 0, 0)</f>
        <v>64.2624</v>
      </c>
      <c r="E583" s="4">
        <f>358.450658640431 * CHOOSE(CONTROL!$C$9, $C$13, 100%, $E$13) + CHOOSE(CONTROL!$C$28, 0, 0)</f>
        <v>358.45065864043102</v>
      </c>
    </row>
    <row r="584" spans="1:5" ht="15">
      <c r="A584" s="13">
        <v>59291</v>
      </c>
      <c r="B584" s="4">
        <f>63.163 * CHOOSE(CONTROL!$C$9, $C$13, 100%, $E$13) + CHOOSE(CONTROL!$C$28, 0.0003, 0)</f>
        <v>63.1633</v>
      </c>
      <c r="C584" s="4">
        <f>62.7997 * CHOOSE(CONTROL!$C$9, $C$13, 100%, $E$13) + CHOOSE(CONTROL!$C$28, 0.0003, 0)</f>
        <v>62.800000000000004</v>
      </c>
      <c r="D584" s="4">
        <f>66.0838 * CHOOSE(CONTROL!$C$9, $C$13, 100%, $E$13) + CHOOSE(CONTROL!$C$28, 0, 0)</f>
        <v>66.083799999999997</v>
      </c>
      <c r="E584" s="4">
        <f>373.072073293673 * CHOOSE(CONTROL!$C$9, $C$13, 100%, $E$13) + CHOOSE(CONTROL!$C$28, 0, 0)</f>
        <v>373.07207329367299</v>
      </c>
    </row>
    <row r="585" spans="1:5" ht="15">
      <c r="A585" s="13">
        <v>59322</v>
      </c>
      <c r="B585" s="4">
        <f>64.657 * CHOOSE(CONTROL!$C$9, $C$13, 100%, $E$13) + CHOOSE(CONTROL!$C$28, 0.0311, 0)</f>
        <v>64.688099999999991</v>
      </c>
      <c r="C585" s="4">
        <f>64.2937 * CHOOSE(CONTROL!$C$9, $C$13, 100%, $E$13) + CHOOSE(CONTROL!$C$28, 0.0311, 0)</f>
        <v>64.324799999999996</v>
      </c>
      <c r="D585" s="4">
        <f>65.3641 * CHOOSE(CONTROL!$C$9, $C$13, 100%, $E$13) + CHOOSE(CONTROL!$C$28, 0, 0)</f>
        <v>65.364099999999993</v>
      </c>
      <c r="E585" s="4">
        <f>382.005407220401 * CHOOSE(CONTROL!$C$9, $C$13, 100%, $E$13) + CHOOSE(CONTROL!$C$28, 0, 0)</f>
        <v>382.00540722040103</v>
      </c>
    </row>
    <row r="586" spans="1:5" ht="15">
      <c r="A586" s="13">
        <v>59352</v>
      </c>
      <c r="B586" s="4">
        <f>64.8591 * CHOOSE(CONTROL!$C$9, $C$13, 100%, $E$13) + CHOOSE(CONTROL!$C$28, 0.0311, 0)</f>
        <v>64.890199999999993</v>
      </c>
      <c r="C586" s="4">
        <f>64.4958 * CHOOSE(CONTROL!$C$9, $C$13, 100%, $E$13) + CHOOSE(CONTROL!$C$28, 0.0311, 0)</f>
        <v>64.526899999999998</v>
      </c>
      <c r="D586" s="4">
        <f>65.9502 * CHOOSE(CONTROL!$C$9, $C$13, 100%, $E$13) + CHOOSE(CONTROL!$C$28, 0, 0)</f>
        <v>65.950199999999995</v>
      </c>
      <c r="E586" s="4">
        <f>383.214124374785 * CHOOSE(CONTROL!$C$9, $C$13, 100%, $E$13) + CHOOSE(CONTROL!$C$28, 0, 0)</f>
        <v>383.214124374785</v>
      </c>
    </row>
    <row r="587" spans="1:5" ht="15">
      <c r="A587" s="13">
        <v>59383</v>
      </c>
      <c r="B587" s="4">
        <f>64.8387 * CHOOSE(CONTROL!$C$9, $C$13, 100%, $E$13) + CHOOSE(CONTROL!$C$28, 0.0311, 0)</f>
        <v>64.869799999999998</v>
      </c>
      <c r="C587" s="4">
        <f>64.4754 * CHOOSE(CONTROL!$C$9, $C$13, 100%, $E$13) + CHOOSE(CONTROL!$C$28, 0.0311, 0)</f>
        <v>64.506499999999988</v>
      </c>
      <c r="D587" s="4">
        <f>67.0078 * CHOOSE(CONTROL!$C$9, $C$13, 100%, $E$13) + CHOOSE(CONTROL!$C$28, 0, 0)</f>
        <v>67.007800000000003</v>
      </c>
      <c r="E587" s="4">
        <f>383.092236930646 * CHOOSE(CONTROL!$C$9, $C$13, 100%, $E$13) + CHOOSE(CONTROL!$C$28, 0, 0)</f>
        <v>383.09223693064598</v>
      </c>
    </row>
    <row r="588" spans="1:5" ht="15">
      <c r="A588" s="13">
        <v>59414</v>
      </c>
      <c r="B588" s="4">
        <f>66.3726 * CHOOSE(CONTROL!$C$9, $C$13, 100%, $E$13) + CHOOSE(CONTROL!$C$28, 0.0311, 0)</f>
        <v>66.403700000000001</v>
      </c>
      <c r="C588" s="4">
        <f>66.0093 * CHOOSE(CONTROL!$C$9, $C$13, 100%, $E$13) + CHOOSE(CONTROL!$C$28, 0.0311, 0)</f>
        <v>66.040399999999991</v>
      </c>
      <c r="D588" s="4">
        <f>66.3094 * CHOOSE(CONTROL!$C$9, $C$13, 100%, $E$13) + CHOOSE(CONTROL!$C$28, 0, 0)</f>
        <v>66.309399999999997</v>
      </c>
      <c r="E588" s="4">
        <f>392.264267102148 * CHOOSE(CONTROL!$C$9, $C$13, 100%, $E$13) + CHOOSE(CONTROL!$C$28, 0, 0)</f>
        <v>392.26426710214798</v>
      </c>
    </row>
    <row r="589" spans="1:5" ht="15">
      <c r="A589" s="13">
        <v>59444</v>
      </c>
      <c r="B589" s="4">
        <f>63.7584 * CHOOSE(CONTROL!$C$9, $C$13, 100%, $E$13) + CHOOSE(CONTROL!$C$28, 0.0311, 0)</f>
        <v>63.789500000000004</v>
      </c>
      <c r="C589" s="4">
        <f>63.3951 * CHOOSE(CONTROL!$C$9, $C$13, 100%, $E$13) + CHOOSE(CONTROL!$C$28, 0.0311, 0)</f>
        <v>63.426200000000001</v>
      </c>
      <c r="D589" s="4">
        <f>65.9794 * CHOOSE(CONTROL!$C$9, $C$13, 100%, $E$13) + CHOOSE(CONTROL!$C$28, 0, 0)</f>
        <v>65.979399999999998</v>
      </c>
      <c r="E589" s="4">
        <f>376.632202391249 * CHOOSE(CONTROL!$C$9, $C$13, 100%, $E$13) + CHOOSE(CONTROL!$C$28, 0, 0)</f>
        <v>376.632202391249</v>
      </c>
    </row>
    <row r="590" spans="1:5" ht="15">
      <c r="A590" s="13">
        <v>59475</v>
      </c>
      <c r="B590" s="4">
        <f>61.6657 * CHOOSE(CONTROL!$C$9, $C$13, 100%, $E$13) + CHOOSE(CONTROL!$C$28, 0.0003, 0)</f>
        <v>61.666000000000004</v>
      </c>
      <c r="C590" s="4">
        <f>61.3024 * CHOOSE(CONTROL!$C$9, $C$13, 100%, $E$13) + CHOOSE(CONTROL!$C$28, 0.0003, 0)</f>
        <v>61.302700000000002</v>
      </c>
      <c r="D590" s="4">
        <f>65.0958 * CHOOSE(CONTROL!$C$9, $C$13, 100%, $E$13) + CHOOSE(CONTROL!$C$28, 0, 0)</f>
        <v>65.095799999999997</v>
      </c>
      <c r="E590" s="4">
        <f>364.118424792921 * CHOOSE(CONTROL!$C$9, $C$13, 100%, $E$13) + CHOOSE(CONTROL!$C$28, 0, 0)</f>
        <v>364.11842479292102</v>
      </c>
    </row>
    <row r="591" spans="1:5" ht="15">
      <c r="A591" s="13">
        <v>59505</v>
      </c>
      <c r="B591" s="4">
        <f>60.3178 * CHOOSE(CONTROL!$C$9, $C$13, 100%, $E$13) + CHOOSE(CONTROL!$C$28, 0.0003, 0)</f>
        <v>60.318100000000001</v>
      </c>
      <c r="C591" s="4">
        <f>59.9545 * CHOOSE(CONTROL!$C$9, $C$13, 100%, $E$13) + CHOOSE(CONTROL!$C$28, 0.0003, 0)</f>
        <v>59.954800000000006</v>
      </c>
      <c r="D591" s="4">
        <f>64.792 * CHOOSE(CONTROL!$C$9, $C$13, 100%, $E$13) + CHOOSE(CONTROL!$C$28, 0, 0)</f>
        <v>64.792000000000002</v>
      </c>
      <c r="E591" s="4">
        <f>356.058617549192 * CHOOSE(CONTROL!$C$9, $C$13, 100%, $E$13) + CHOOSE(CONTROL!$C$28, 0, 0)</f>
        <v>356.05861754919198</v>
      </c>
    </row>
    <row r="592" spans="1:5" ht="15">
      <c r="A592" s="13">
        <v>59536</v>
      </c>
      <c r="B592" s="4">
        <f>59.3853 * CHOOSE(CONTROL!$C$9, $C$13, 100%, $E$13) + CHOOSE(CONTROL!$C$28, 0.0003, 0)</f>
        <v>59.385600000000004</v>
      </c>
      <c r="C592" s="4">
        <f>59.022 * CHOOSE(CONTROL!$C$9, $C$13, 100%, $E$13) + CHOOSE(CONTROL!$C$28, 0.0003, 0)</f>
        <v>59.022300000000001</v>
      </c>
      <c r="D592" s="4">
        <f>62.5555 * CHOOSE(CONTROL!$C$9, $C$13, 100%, $E$13) + CHOOSE(CONTROL!$C$28, 0, 0)</f>
        <v>62.555500000000002</v>
      </c>
      <c r="E592" s="4">
        <f>350.482266979807 * CHOOSE(CONTROL!$C$9, $C$13, 100%, $E$13) + CHOOSE(CONTROL!$C$28, 0, 0)</f>
        <v>350.48226697980698</v>
      </c>
    </row>
    <row r="593" spans="1:5" ht="15">
      <c r="A593" s="13">
        <v>59567</v>
      </c>
      <c r="B593" s="4">
        <f>57.8701 * CHOOSE(CONTROL!$C$9, $C$13, 100%, $E$13) + CHOOSE(CONTROL!$C$28, 0.0003, 0)</f>
        <v>57.870400000000004</v>
      </c>
      <c r="C593" s="4">
        <f>57.5068 * CHOOSE(CONTROL!$C$9, $C$13, 100%, $E$13) + CHOOSE(CONTROL!$C$28, 0.0003, 0)</f>
        <v>57.507100000000001</v>
      </c>
      <c r="D593" s="4">
        <f>60.5 * CHOOSE(CONTROL!$C$9, $C$13, 100%, $E$13) + CHOOSE(CONTROL!$C$28, 0, 0)</f>
        <v>60.5</v>
      </c>
      <c r="E593" s="4">
        <f>340.431771144495 * CHOOSE(CONTROL!$C$9, $C$13, 100%, $E$13) + CHOOSE(CONTROL!$C$28, 0, 0)</f>
        <v>340.43177114449497</v>
      </c>
    </row>
    <row r="594" spans="1:5" ht="15">
      <c r="A594" s="13">
        <v>59595</v>
      </c>
      <c r="B594" s="4">
        <f>59.2258 * CHOOSE(CONTROL!$C$9, $C$13, 100%, $E$13) + CHOOSE(CONTROL!$C$28, 0.0003, 0)</f>
        <v>59.226100000000002</v>
      </c>
      <c r="C594" s="4">
        <f>58.8625 * CHOOSE(CONTROL!$C$9, $C$13, 100%, $E$13) + CHOOSE(CONTROL!$C$28, 0.0003, 0)</f>
        <v>58.8628</v>
      </c>
      <c r="D594" s="4">
        <f>62.5699 * CHOOSE(CONTROL!$C$9, $C$13, 100%, $E$13) + CHOOSE(CONTROL!$C$28, 0, 0)</f>
        <v>62.569899999999997</v>
      </c>
      <c r="E594" s="4">
        <f>348.514963002246 * CHOOSE(CONTROL!$C$9, $C$13, 100%, $E$13) + CHOOSE(CONTROL!$C$28, 0, 0)</f>
        <v>348.51496300224602</v>
      </c>
    </row>
    <row r="595" spans="1:5" ht="15">
      <c r="A595" s="13">
        <v>59626</v>
      </c>
      <c r="B595" s="4">
        <f>62.7859 * CHOOSE(CONTROL!$C$9, $C$13, 100%, $E$13) + CHOOSE(CONTROL!$C$28, 0.0003, 0)</f>
        <v>62.786200000000001</v>
      </c>
      <c r="C595" s="4">
        <f>62.4226 * CHOOSE(CONTROL!$C$9, $C$13, 100%, $E$13) + CHOOSE(CONTROL!$C$28, 0.0003, 0)</f>
        <v>62.422900000000006</v>
      </c>
      <c r="D595" s="4">
        <f>65.8102 * CHOOSE(CONTROL!$C$9, $C$13, 100%, $E$13) + CHOOSE(CONTROL!$C$28, 0, 0)</f>
        <v>65.810199999999995</v>
      </c>
      <c r="E595" s="4">
        <f>369.741854387604 * CHOOSE(CONTROL!$C$9, $C$13, 100%, $E$13) + CHOOSE(CONTROL!$C$28, 0, 0)</f>
        <v>369.74185438760401</v>
      </c>
    </row>
    <row r="596" spans="1:5" ht="15">
      <c r="A596" s="13">
        <v>59656</v>
      </c>
      <c r="B596" s="4">
        <f>65.3155 * CHOOSE(CONTROL!$C$9, $C$13, 100%, $E$13) + CHOOSE(CONTROL!$C$28, 0.0003, 0)</f>
        <v>65.315799999999996</v>
      </c>
      <c r="C596" s="4">
        <f>64.9522 * CHOOSE(CONTROL!$C$9, $C$13, 100%, $E$13) + CHOOSE(CONTROL!$C$28, 0.0003, 0)</f>
        <v>64.952500000000001</v>
      </c>
      <c r="D596" s="4">
        <f>67.6767 * CHOOSE(CONTROL!$C$9, $C$13, 100%, $E$13) + CHOOSE(CONTROL!$C$28, 0, 0)</f>
        <v>67.676699999999997</v>
      </c>
      <c r="E596" s="4">
        <f>384.823843602423 * CHOOSE(CONTROL!$C$9, $C$13, 100%, $E$13) + CHOOSE(CONTROL!$C$28, 0, 0)</f>
        <v>384.82384360242298</v>
      </c>
    </row>
    <row r="597" spans="1:5" ht="15">
      <c r="A597" s="13">
        <v>59687</v>
      </c>
      <c r="B597" s="4">
        <f>66.8609 * CHOOSE(CONTROL!$C$9, $C$13, 100%, $E$13) + CHOOSE(CONTROL!$C$28, 0.0311, 0)</f>
        <v>66.891999999999996</v>
      </c>
      <c r="C597" s="4">
        <f>66.4977 * CHOOSE(CONTROL!$C$9, $C$13, 100%, $E$13) + CHOOSE(CONTROL!$C$28, 0.0311, 0)</f>
        <v>66.52879999999999</v>
      </c>
      <c r="D597" s="4">
        <f>66.9392 * CHOOSE(CONTROL!$C$9, $C$13, 100%, $E$13) + CHOOSE(CONTROL!$C$28, 0, 0)</f>
        <v>66.9392</v>
      </c>
      <c r="E597" s="4">
        <f>394.038577547844 * CHOOSE(CONTROL!$C$9, $C$13, 100%, $E$13) + CHOOSE(CONTROL!$C$28, 0, 0)</f>
        <v>394.038577547844</v>
      </c>
    </row>
    <row r="598" spans="1:5" ht="15">
      <c r="A598" s="13">
        <v>59717</v>
      </c>
      <c r="B598" s="4">
        <f>67.07 * CHOOSE(CONTROL!$C$9, $C$13, 100%, $E$13) + CHOOSE(CONTROL!$C$28, 0.0311, 0)</f>
        <v>67.101099999999988</v>
      </c>
      <c r="C598" s="4">
        <f>66.7068 * CHOOSE(CONTROL!$C$9, $C$13, 100%, $E$13) + CHOOSE(CONTROL!$C$28, 0.0311, 0)</f>
        <v>66.737899999999996</v>
      </c>
      <c r="D598" s="4">
        <f>67.5399 * CHOOSE(CONTROL!$C$9, $C$13, 100%, $E$13) + CHOOSE(CONTROL!$C$28, 0, 0)</f>
        <v>67.539900000000003</v>
      </c>
      <c r="E598" s="4">
        <f>395.285369292591 * CHOOSE(CONTROL!$C$9, $C$13, 100%, $E$13) + CHOOSE(CONTROL!$C$28, 0, 0)</f>
        <v>395.28536929259099</v>
      </c>
    </row>
    <row r="599" spans="1:5" ht="15">
      <c r="A599" s="13">
        <v>59748</v>
      </c>
      <c r="B599" s="4">
        <f>67.049 * CHOOSE(CONTROL!$C$9, $C$13, 100%, $E$13) + CHOOSE(CONTROL!$C$28, 0.0311, 0)</f>
        <v>67.080100000000002</v>
      </c>
      <c r="C599" s="4">
        <f>66.6857 * CHOOSE(CONTROL!$C$9, $C$13, 100%, $E$13) + CHOOSE(CONTROL!$C$28, 0.0311, 0)</f>
        <v>66.716799999999992</v>
      </c>
      <c r="D599" s="4">
        <f>68.6237 * CHOOSE(CONTROL!$C$9, $C$13, 100%, $E$13) + CHOOSE(CONTROL!$C$28, 0, 0)</f>
        <v>68.623699999999999</v>
      </c>
      <c r="E599" s="4">
        <f>395.159642393961 * CHOOSE(CONTROL!$C$9, $C$13, 100%, $E$13) + CHOOSE(CONTROL!$C$28, 0, 0)</f>
        <v>395.15964239396101</v>
      </c>
    </row>
    <row r="600" spans="1:5" ht="15">
      <c r="A600" s="13">
        <v>59779</v>
      </c>
      <c r="B600" s="4">
        <f>68.6357 * CHOOSE(CONTROL!$C$9, $C$13, 100%, $E$13) + CHOOSE(CONTROL!$C$28, 0.0311, 0)</f>
        <v>68.666799999999995</v>
      </c>
      <c r="C600" s="4">
        <f>68.2724 * CHOOSE(CONTROL!$C$9, $C$13, 100%, $E$13) + CHOOSE(CONTROL!$C$28, 0.0311, 0)</f>
        <v>68.3035</v>
      </c>
      <c r="D600" s="4">
        <f>67.9079 * CHOOSE(CONTROL!$C$9, $C$13, 100%, $E$13) + CHOOSE(CONTROL!$C$28, 0, 0)</f>
        <v>67.907899999999998</v>
      </c>
      <c r="E600" s="4">
        <f>404.620591515866 * CHOOSE(CONTROL!$C$9, $C$13, 100%, $E$13) + CHOOSE(CONTROL!$C$28, 0, 0)</f>
        <v>404.62059151586601</v>
      </c>
    </row>
    <row r="601" spans="1:5" ht="15">
      <c r="A601" s="13">
        <v>59809</v>
      </c>
      <c r="B601" s="4">
        <f>65.9314 * CHOOSE(CONTROL!$C$9, $C$13, 100%, $E$13) + CHOOSE(CONTROL!$C$28, 0.0311, 0)</f>
        <v>65.962499999999991</v>
      </c>
      <c r="C601" s="4">
        <f>65.5681 * CHOOSE(CONTROL!$C$9, $C$13, 100%, $E$13) + CHOOSE(CONTROL!$C$28, 0.0311, 0)</f>
        <v>65.599199999999996</v>
      </c>
      <c r="D601" s="4">
        <f>67.5697 * CHOOSE(CONTROL!$C$9, $C$13, 100%, $E$13) + CHOOSE(CONTROL!$C$28, 0, 0)</f>
        <v>67.569699999999997</v>
      </c>
      <c r="E601" s="4">
        <f>388.496116766573 * CHOOSE(CONTROL!$C$9, $C$13, 100%, $E$13) + CHOOSE(CONTROL!$C$28, 0, 0)</f>
        <v>388.49611676657298</v>
      </c>
    </row>
    <row r="602" spans="1:5" ht="15">
      <c r="A602" s="13">
        <v>59840</v>
      </c>
      <c r="B602" s="4">
        <f>63.7665 * CHOOSE(CONTROL!$C$9, $C$13, 100%, $E$13) + CHOOSE(CONTROL!$C$28, 0.0003, 0)</f>
        <v>63.766800000000003</v>
      </c>
      <c r="C602" s="4">
        <f>63.4032 * CHOOSE(CONTROL!$C$9, $C$13, 100%, $E$13) + CHOOSE(CONTROL!$C$28, 0.0003, 0)</f>
        <v>63.403500000000001</v>
      </c>
      <c r="D602" s="4">
        <f>66.6642 * CHOOSE(CONTROL!$C$9, $C$13, 100%, $E$13) + CHOOSE(CONTROL!$C$28, 0, 0)</f>
        <v>66.664199999999994</v>
      </c>
      <c r="E602" s="4">
        <f>375.588155173898 * CHOOSE(CONTROL!$C$9, $C$13, 100%, $E$13) + CHOOSE(CONTROL!$C$28, 0, 0)</f>
        <v>375.58815517389797</v>
      </c>
    </row>
    <row r="603" spans="1:5" ht="15">
      <c r="A603" s="13">
        <v>59870</v>
      </c>
      <c r="B603" s="4">
        <f>62.3721 * CHOOSE(CONTROL!$C$9, $C$13, 100%, $E$13) + CHOOSE(CONTROL!$C$28, 0.0003, 0)</f>
        <v>62.372400000000006</v>
      </c>
      <c r="C603" s="4">
        <f>62.0088 * CHOOSE(CONTROL!$C$9, $C$13, 100%, $E$13) + CHOOSE(CONTROL!$C$28, 0.0003, 0)</f>
        <v>62.009100000000004</v>
      </c>
      <c r="D603" s="4">
        <f>66.3529 * CHOOSE(CONTROL!$C$9, $C$13, 100%, $E$13) + CHOOSE(CONTROL!$C$28, 0, 0)</f>
        <v>66.352900000000005</v>
      </c>
      <c r="E603" s="4">
        <f>367.274464001991 * CHOOSE(CONTROL!$C$9, $C$13, 100%, $E$13) + CHOOSE(CONTROL!$C$28, 0, 0)</f>
        <v>367.27446400199102</v>
      </c>
    </row>
    <row r="604" spans="1:5" ht="15">
      <c r="A604" s="13">
        <v>59901</v>
      </c>
      <c r="B604" s="4">
        <f>61.4074 * CHOOSE(CONTROL!$C$9, $C$13, 100%, $E$13) + CHOOSE(CONTROL!$C$28, 0.0003, 0)</f>
        <v>61.407700000000006</v>
      </c>
      <c r="C604" s="4">
        <f>61.0441 * CHOOSE(CONTROL!$C$9, $C$13, 100%, $E$13) + CHOOSE(CONTROL!$C$28, 0.0003, 0)</f>
        <v>61.044400000000003</v>
      </c>
      <c r="D604" s="4">
        <f>64.0609 * CHOOSE(CONTROL!$C$9, $C$13, 100%, $E$13) + CHOOSE(CONTROL!$C$28, 0, 0)</f>
        <v>64.060900000000004</v>
      </c>
      <c r="E604" s="4">
        <f>361.522458389671 * CHOOSE(CONTROL!$C$9, $C$13, 100%, $E$13) + CHOOSE(CONTROL!$C$28, 0, 0)</f>
        <v>361.52245838967099</v>
      </c>
    </row>
    <row r="605" spans="1:5" ht="15">
      <c r="A605" s="13">
        <v>59932</v>
      </c>
      <c r="B605" s="4">
        <f>59.8399 * CHOOSE(CONTROL!$C$9, $C$13, 100%, $E$13) + CHOOSE(CONTROL!$C$28, 0.0003, 0)</f>
        <v>59.840200000000003</v>
      </c>
      <c r="C605" s="4">
        <f>59.4766 * CHOOSE(CONTROL!$C$9, $C$13, 100%, $E$13) + CHOOSE(CONTROL!$C$28, 0.0003, 0)</f>
        <v>59.476900000000001</v>
      </c>
      <c r="D605" s="4">
        <f>61.9544 * CHOOSE(CONTROL!$C$9, $C$13, 100%, $E$13) + CHOOSE(CONTROL!$C$28, 0, 0)</f>
        <v>61.9544</v>
      </c>
      <c r="E605" s="4">
        <f>351.155371935547 * CHOOSE(CONTROL!$C$9, $C$13, 100%, $E$13) + CHOOSE(CONTROL!$C$28, 0, 0)</f>
        <v>351.15537193554701</v>
      </c>
    </row>
    <row r="606" spans="1:5" ht="15">
      <c r="A606" s="13">
        <v>59961</v>
      </c>
      <c r="B606" s="4">
        <f>61.2424 * CHOOSE(CONTROL!$C$9, $C$13, 100%, $E$13) + CHOOSE(CONTROL!$C$28, 0.0003, 0)</f>
        <v>61.242700000000006</v>
      </c>
      <c r="C606" s="4">
        <f>60.8791 * CHOOSE(CONTROL!$C$9, $C$13, 100%, $E$13) + CHOOSE(CONTROL!$C$28, 0.0003, 0)</f>
        <v>60.879400000000004</v>
      </c>
      <c r="D606" s="4">
        <f>64.0757 * CHOOSE(CONTROL!$C$9, $C$13, 100%, $E$13) + CHOOSE(CONTROL!$C$28, 0, 0)</f>
        <v>64.075699999999998</v>
      </c>
      <c r="E606" s="4">
        <f>359.493184336817 * CHOOSE(CONTROL!$C$9, $C$13, 100%, $E$13) + CHOOSE(CONTROL!$C$28, 0, 0)</f>
        <v>359.49318433681702</v>
      </c>
    </row>
    <row r="607" spans="1:5" ht="15">
      <c r="A607" s="13">
        <v>59992</v>
      </c>
      <c r="B607" s="4">
        <f>64.9254 * CHOOSE(CONTROL!$C$9, $C$13, 100%, $E$13) + CHOOSE(CONTROL!$C$28, 0.0003, 0)</f>
        <v>64.925699999999992</v>
      </c>
      <c r="C607" s="4">
        <f>64.5621 * CHOOSE(CONTROL!$C$9, $C$13, 100%, $E$13) + CHOOSE(CONTROL!$C$28, 0.0003, 0)</f>
        <v>64.562399999999997</v>
      </c>
      <c r="D607" s="4">
        <f>67.3964 * CHOOSE(CONTROL!$C$9, $C$13, 100%, $E$13) + CHOOSE(CONTROL!$C$28, 0, 0)</f>
        <v>67.3964</v>
      </c>
      <c r="E607" s="4">
        <f>381.388722800814 * CHOOSE(CONTROL!$C$9, $C$13, 100%, $E$13) + CHOOSE(CONTROL!$C$28, 0, 0)</f>
        <v>381.38872280081398</v>
      </c>
    </row>
    <row r="608" spans="1:5" ht="15">
      <c r="A608" s="13">
        <v>60022</v>
      </c>
      <c r="B608" s="4">
        <f>67.5422 * CHOOSE(CONTROL!$C$9, $C$13, 100%, $E$13) + CHOOSE(CONTROL!$C$28, 0.0003, 0)</f>
        <v>67.54249999999999</v>
      </c>
      <c r="C608" s="4">
        <f>67.1789 * CHOOSE(CONTROL!$C$9, $C$13, 100%, $E$13) + CHOOSE(CONTROL!$C$28, 0.0003, 0)</f>
        <v>67.179199999999994</v>
      </c>
      <c r="D608" s="4">
        <f>69.3092 * CHOOSE(CONTROL!$C$9, $C$13, 100%, $E$13) + CHOOSE(CONTROL!$C$28, 0, 0)</f>
        <v>69.309200000000004</v>
      </c>
      <c r="E608" s="4">
        <f>396.9457946759 * CHOOSE(CONTROL!$C$9, $C$13, 100%, $E$13) + CHOOSE(CONTROL!$C$28, 0, 0)</f>
        <v>396.9457946759</v>
      </c>
    </row>
    <row r="609" spans="1:5" ht="15">
      <c r="A609" s="13">
        <v>60053</v>
      </c>
      <c r="B609" s="4">
        <f>69.141 * CHOOSE(CONTROL!$C$9, $C$13, 100%, $E$13) + CHOOSE(CONTROL!$C$28, 0.0311, 0)</f>
        <v>69.1721</v>
      </c>
      <c r="C609" s="4">
        <f>68.7777 * CHOOSE(CONTROL!$C$9, $C$13, 100%, $E$13) + CHOOSE(CONTROL!$C$28, 0.0311, 0)</f>
        <v>68.808799999999991</v>
      </c>
      <c r="D609" s="4">
        <f>68.5533 * CHOOSE(CONTROL!$C$9, $C$13, 100%, $E$13) + CHOOSE(CONTROL!$C$28, 0, 0)</f>
        <v>68.553299999999993</v>
      </c>
      <c r="E609" s="4">
        <f>406.450792740601 * CHOOSE(CONTROL!$C$9, $C$13, 100%, $E$13) + CHOOSE(CONTROL!$C$28, 0, 0)</f>
        <v>406.450792740601</v>
      </c>
    </row>
    <row r="610" spans="1:5" ht="15">
      <c r="A610" s="13">
        <v>60083</v>
      </c>
      <c r="B610" s="4">
        <f>69.3573 * CHOOSE(CONTROL!$C$9, $C$13, 100%, $E$13) + CHOOSE(CONTROL!$C$28, 0.0311, 0)</f>
        <v>69.38839999999999</v>
      </c>
      <c r="C610" s="4">
        <f>68.994 * CHOOSE(CONTROL!$C$9, $C$13, 100%, $E$13) + CHOOSE(CONTROL!$C$28, 0.0311, 0)</f>
        <v>69.025099999999995</v>
      </c>
      <c r="D610" s="4">
        <f>69.1689 * CHOOSE(CONTROL!$C$9, $C$13, 100%, $E$13) + CHOOSE(CONTROL!$C$28, 0, 0)</f>
        <v>69.168899999999994</v>
      </c>
      <c r="E610" s="4">
        <f>407.736858425308 * CHOOSE(CONTROL!$C$9, $C$13, 100%, $E$13) + CHOOSE(CONTROL!$C$28, 0, 0)</f>
        <v>407.73685842530801</v>
      </c>
    </row>
    <row r="611" spans="1:5" ht="15">
      <c r="A611" s="13">
        <v>60114</v>
      </c>
      <c r="B611" s="4">
        <f>69.3355 * CHOOSE(CONTROL!$C$9, $C$13, 100%, $E$13) + CHOOSE(CONTROL!$C$28, 0.0311, 0)</f>
        <v>69.366599999999991</v>
      </c>
      <c r="C611" s="4">
        <f>68.9722 * CHOOSE(CONTROL!$C$9, $C$13, 100%, $E$13) + CHOOSE(CONTROL!$C$28, 0.0311, 0)</f>
        <v>69.003299999999996</v>
      </c>
      <c r="D611" s="4">
        <f>70.2797 * CHOOSE(CONTROL!$C$9, $C$13, 100%, $E$13) + CHOOSE(CONTROL!$C$28, 0, 0)</f>
        <v>70.279700000000005</v>
      </c>
      <c r="E611" s="4">
        <f>407.607171129371 * CHOOSE(CONTROL!$C$9, $C$13, 100%, $E$13) + CHOOSE(CONTROL!$C$28, 0, 0)</f>
        <v>407.60717112937101</v>
      </c>
    </row>
    <row r="612" spans="1:5" ht="15">
      <c r="A612" s="13">
        <v>60145</v>
      </c>
      <c r="B612" s="4">
        <f>70.977 * CHOOSE(CONTROL!$C$9, $C$13, 100%, $E$13) + CHOOSE(CONTROL!$C$28, 0.0311, 0)</f>
        <v>71.008099999999999</v>
      </c>
      <c r="C612" s="4">
        <f>70.6137 * CHOOSE(CONTROL!$C$9, $C$13, 100%, $E$13) + CHOOSE(CONTROL!$C$28, 0.0311, 0)</f>
        <v>70.644799999999989</v>
      </c>
      <c r="D612" s="4">
        <f>69.5461 * CHOOSE(CONTROL!$C$9, $C$13, 100%, $E$13) + CHOOSE(CONTROL!$C$28, 0, 0)</f>
        <v>69.546099999999996</v>
      </c>
      <c r="E612" s="4">
        <f>417.366140148615 * CHOOSE(CONTROL!$C$9, $C$13, 100%, $E$13) + CHOOSE(CONTROL!$C$28, 0, 0)</f>
        <v>417.36614014861499</v>
      </c>
    </row>
    <row r="613" spans="1:5" ht="15">
      <c r="A613" s="13">
        <v>60175</v>
      </c>
      <c r="B613" s="4">
        <f>68.1793 * CHOOSE(CONTROL!$C$9, $C$13, 100%, $E$13) + CHOOSE(CONTROL!$C$28, 0.0311, 0)</f>
        <v>68.210399999999993</v>
      </c>
      <c r="C613" s="4">
        <f>67.816 * CHOOSE(CONTROL!$C$9, $C$13, 100%, $E$13) + CHOOSE(CONTROL!$C$28, 0.0311, 0)</f>
        <v>67.847099999999998</v>
      </c>
      <c r="D613" s="4">
        <f>69.1995 * CHOOSE(CONTROL!$C$9, $C$13, 100%, $E$13) + CHOOSE(CONTROL!$C$28, 0, 0)</f>
        <v>69.1995</v>
      </c>
      <c r="E613" s="4">
        <f>400.733744444721 * CHOOSE(CONTROL!$C$9, $C$13, 100%, $E$13) + CHOOSE(CONTROL!$C$28, 0, 0)</f>
        <v>400.73374444472103</v>
      </c>
    </row>
    <row r="614" spans="1:5" ht="15">
      <c r="A614" s="13">
        <v>60206</v>
      </c>
      <c r="B614" s="4">
        <f>65.9397 * CHOOSE(CONTROL!$C$9, $C$13, 100%, $E$13) + CHOOSE(CONTROL!$C$28, 0.0003, 0)</f>
        <v>65.94</v>
      </c>
      <c r="C614" s="4">
        <f>65.5764 * CHOOSE(CONTROL!$C$9, $C$13, 100%, $E$13) + CHOOSE(CONTROL!$C$28, 0.0003, 0)</f>
        <v>65.576700000000002</v>
      </c>
      <c r="D614" s="4">
        <f>68.2716 * CHOOSE(CONTROL!$C$9, $C$13, 100%, $E$13) + CHOOSE(CONTROL!$C$28, 0, 0)</f>
        <v>68.271600000000007</v>
      </c>
      <c r="E614" s="4">
        <f>387.419182061875 * CHOOSE(CONTROL!$C$9, $C$13, 100%, $E$13) + CHOOSE(CONTROL!$C$28, 0, 0)</f>
        <v>387.41918206187501</v>
      </c>
    </row>
    <row r="615" spans="1:5" ht="15">
      <c r="A615" s="13">
        <v>60236</v>
      </c>
      <c r="B615" s="4">
        <f>64.4973 * CHOOSE(CONTROL!$C$9, $C$13, 100%, $E$13) + CHOOSE(CONTROL!$C$28, 0.0003, 0)</f>
        <v>64.497599999999991</v>
      </c>
      <c r="C615" s="4">
        <f>64.134 * CHOOSE(CONTROL!$C$9, $C$13, 100%, $E$13) + CHOOSE(CONTROL!$C$28, 0.0003, 0)</f>
        <v>64.134299999999996</v>
      </c>
      <c r="D615" s="4">
        <f>67.9525 * CHOOSE(CONTROL!$C$9, $C$13, 100%, $E$13) + CHOOSE(CONTROL!$C$28, 0, 0)</f>
        <v>67.952500000000001</v>
      </c>
      <c r="E615" s="4">
        <f>378.843609618054 * CHOOSE(CONTROL!$C$9, $C$13, 100%, $E$13) + CHOOSE(CONTROL!$C$28, 0, 0)</f>
        <v>378.84360961805402</v>
      </c>
    </row>
    <row r="616" spans="1:5" ht="15">
      <c r="A616" s="13">
        <v>60267</v>
      </c>
      <c r="B616" s="4">
        <f>63.4993 * CHOOSE(CONTROL!$C$9, $C$13, 100%, $E$13) + CHOOSE(CONTROL!$C$28, 0.0003, 0)</f>
        <v>63.499600000000001</v>
      </c>
      <c r="C616" s="4">
        <f>63.136 * CHOOSE(CONTROL!$C$9, $C$13, 100%, $E$13) + CHOOSE(CONTROL!$C$28, 0.0003, 0)</f>
        <v>63.136300000000006</v>
      </c>
      <c r="D616" s="4">
        <f>65.6037 * CHOOSE(CONTROL!$C$9, $C$13, 100%, $E$13) + CHOOSE(CONTROL!$C$28, 0, 0)</f>
        <v>65.603700000000003</v>
      </c>
      <c r="E616" s="4">
        <f>372.910415828946 * CHOOSE(CONTROL!$C$9, $C$13, 100%, $E$13) + CHOOSE(CONTROL!$C$28, 0, 0)</f>
        <v>372.91041582894599</v>
      </c>
    </row>
    <row r="617" spans="1:5" ht="15">
      <c r="A617" s="13">
        <v>60298</v>
      </c>
      <c r="B617" s="4">
        <f>61.8777 * CHOOSE(CONTROL!$C$9, $C$13, 100%, $E$13) + CHOOSE(CONTROL!$C$28, 0.0003, 0)</f>
        <v>61.878</v>
      </c>
      <c r="C617" s="4">
        <f>61.5144 * CHOOSE(CONTROL!$C$9, $C$13, 100%, $E$13) + CHOOSE(CONTROL!$C$28, 0.0003, 0)</f>
        <v>61.514700000000005</v>
      </c>
      <c r="D617" s="4">
        <f>63.445 * CHOOSE(CONTROL!$C$9, $C$13, 100%, $E$13) + CHOOSE(CONTROL!$C$28, 0, 0)</f>
        <v>63.445</v>
      </c>
      <c r="E617" s="4">
        <f>362.216766151517 * CHOOSE(CONTROL!$C$9, $C$13, 100%, $E$13) + CHOOSE(CONTROL!$C$28, 0, 0)</f>
        <v>362.21676615151699</v>
      </c>
    </row>
    <row r="618" spans="1:5" ht="15">
      <c r="A618" s="13">
        <v>60326</v>
      </c>
      <c r="B618" s="4">
        <f>63.3286 * CHOOSE(CONTROL!$C$9, $C$13, 100%, $E$13) + CHOOSE(CONTROL!$C$28, 0.0003, 0)</f>
        <v>63.328900000000004</v>
      </c>
      <c r="C618" s="4">
        <f>62.9653 * CHOOSE(CONTROL!$C$9, $C$13, 100%, $E$13) + CHOOSE(CONTROL!$C$28, 0.0003, 0)</f>
        <v>62.965600000000002</v>
      </c>
      <c r="D618" s="4">
        <f>65.6189 * CHOOSE(CONTROL!$C$9, $C$13, 100%, $E$13) + CHOOSE(CONTROL!$C$28, 0, 0)</f>
        <v>65.618899999999996</v>
      </c>
      <c r="E618" s="4">
        <f>370.817219643427 * CHOOSE(CONTROL!$C$9, $C$13, 100%, $E$13) + CHOOSE(CONTROL!$C$28, 0, 0)</f>
        <v>370.81721964342699</v>
      </c>
    </row>
    <row r="619" spans="1:5" ht="15">
      <c r="A619" s="13">
        <v>60357</v>
      </c>
      <c r="B619" s="4">
        <f>67.1386 * CHOOSE(CONTROL!$C$9, $C$13, 100%, $E$13) + CHOOSE(CONTROL!$C$28, 0.0003, 0)</f>
        <v>67.138899999999992</v>
      </c>
      <c r="C619" s="4">
        <f>66.7753 * CHOOSE(CONTROL!$C$9, $C$13, 100%, $E$13) + CHOOSE(CONTROL!$C$28, 0.0003, 0)</f>
        <v>66.775599999999997</v>
      </c>
      <c r="D619" s="4">
        <f>69.0219 * CHOOSE(CONTROL!$C$9, $C$13, 100%, $E$13) + CHOOSE(CONTROL!$C$28, 0, 0)</f>
        <v>69.021900000000002</v>
      </c>
      <c r="E619" s="4">
        <f>393.40246756904 * CHOOSE(CONTROL!$C$9, $C$13, 100%, $E$13) + CHOOSE(CONTROL!$C$28, 0, 0)</f>
        <v>393.40246756904003</v>
      </c>
    </row>
    <row r="620" spans="1:5" ht="15">
      <c r="A620" s="13">
        <v>60387</v>
      </c>
      <c r="B620" s="4">
        <f>69.8457 * CHOOSE(CONTROL!$C$9, $C$13, 100%, $E$13) + CHOOSE(CONTROL!$C$28, 0.0003, 0)</f>
        <v>69.845999999999989</v>
      </c>
      <c r="C620" s="4">
        <f>69.4824 * CHOOSE(CONTROL!$C$9, $C$13, 100%, $E$13) + CHOOSE(CONTROL!$C$28, 0.0003, 0)</f>
        <v>69.482699999999994</v>
      </c>
      <c r="D620" s="4">
        <f>70.9821 * CHOOSE(CONTROL!$C$9, $C$13, 100%, $E$13) + CHOOSE(CONTROL!$C$28, 0, 0)</f>
        <v>70.982100000000003</v>
      </c>
      <c r="E620" s="4">
        <f>409.449587208191 * CHOOSE(CONTROL!$C$9, $C$13, 100%, $E$13) + CHOOSE(CONTROL!$C$28, 0, 0)</f>
        <v>409.44958720819102</v>
      </c>
    </row>
    <row r="621" spans="1:5" ht="15">
      <c r="A621" s="13">
        <v>60418</v>
      </c>
      <c r="B621" s="4">
        <f>71.4996 * CHOOSE(CONTROL!$C$9, $C$13, 100%, $E$13) + CHOOSE(CONTROL!$C$28, 0.0311, 0)</f>
        <v>71.530699999999996</v>
      </c>
      <c r="C621" s="4">
        <f>71.1363 * CHOOSE(CONTROL!$C$9, $C$13, 100%, $E$13) + CHOOSE(CONTROL!$C$28, 0.0311, 0)</f>
        <v>71.167400000000001</v>
      </c>
      <c r="D621" s="4">
        <f>70.2075 * CHOOSE(CONTROL!$C$9, $C$13, 100%, $E$13) + CHOOSE(CONTROL!$C$28, 0, 0)</f>
        <v>70.207499999999996</v>
      </c>
      <c r="E621" s="4">
        <f>419.25399271193 * CHOOSE(CONTROL!$C$9, $C$13, 100%, $E$13) + CHOOSE(CONTROL!$C$28, 0, 0)</f>
        <v>419.25399271192998</v>
      </c>
    </row>
    <row r="622" spans="1:5" ht="15">
      <c r="A622" s="13">
        <v>60448</v>
      </c>
      <c r="B622" s="4">
        <f>71.7234 * CHOOSE(CONTROL!$C$9, $C$13, 100%, $E$13) + CHOOSE(CONTROL!$C$28, 0.0311, 0)</f>
        <v>71.754499999999993</v>
      </c>
      <c r="C622" s="4">
        <f>71.3601 * CHOOSE(CONTROL!$C$9, $C$13, 100%, $E$13) + CHOOSE(CONTROL!$C$28, 0.0311, 0)</f>
        <v>71.391199999999998</v>
      </c>
      <c r="D622" s="4">
        <f>70.8384 * CHOOSE(CONTROL!$C$9, $C$13, 100%, $E$13) + CHOOSE(CONTROL!$C$28, 0, 0)</f>
        <v>70.838399999999993</v>
      </c>
      <c r="E622" s="4">
        <f>420.580569465705 * CHOOSE(CONTROL!$C$9, $C$13, 100%, $E$13) + CHOOSE(CONTROL!$C$28, 0, 0)</f>
        <v>420.58056946570503</v>
      </c>
    </row>
    <row r="623" spans="1:5" ht="15">
      <c r="A623" s="13">
        <v>60479</v>
      </c>
      <c r="B623" s="4">
        <f>71.7009 * CHOOSE(CONTROL!$C$9, $C$13, 100%, $E$13) + CHOOSE(CONTROL!$C$28, 0.0311, 0)</f>
        <v>71.731999999999999</v>
      </c>
      <c r="C623" s="4">
        <f>71.3376 * CHOOSE(CONTROL!$C$9, $C$13, 100%, $E$13) + CHOOSE(CONTROL!$C$28, 0.0311, 0)</f>
        <v>71.36869999999999</v>
      </c>
      <c r="D623" s="4">
        <f>71.9767 * CHOOSE(CONTROL!$C$9, $C$13, 100%, $E$13) + CHOOSE(CONTROL!$C$28, 0, 0)</f>
        <v>71.976699999999994</v>
      </c>
      <c r="E623" s="4">
        <f>420.446797019946 * CHOOSE(CONTROL!$C$9, $C$13, 100%, $E$13) + CHOOSE(CONTROL!$C$28, 0, 0)</f>
        <v>420.44679701994602</v>
      </c>
    </row>
    <row r="624" spans="1:5" ht="15">
      <c r="A624" s="13">
        <v>60510</v>
      </c>
      <c r="B624" s="4">
        <f>73.399 * CHOOSE(CONTROL!$C$9, $C$13, 100%, $E$13) + CHOOSE(CONTROL!$C$28, 0.0311, 0)</f>
        <v>73.430099999999996</v>
      </c>
      <c r="C624" s="4">
        <f>73.0357 * CHOOSE(CONTROL!$C$9, $C$13, 100%, $E$13) + CHOOSE(CONTROL!$C$28, 0.0311, 0)</f>
        <v>73.066800000000001</v>
      </c>
      <c r="D624" s="4">
        <f>71.2249 * CHOOSE(CONTROL!$C$9, $C$13, 100%, $E$13) + CHOOSE(CONTROL!$C$28, 0, 0)</f>
        <v>71.224900000000005</v>
      </c>
      <c r="E624" s="4">
        <f>430.513173563297 * CHOOSE(CONTROL!$C$9, $C$13, 100%, $E$13) + CHOOSE(CONTROL!$C$28, 0, 0)</f>
        <v>430.51317356329702</v>
      </c>
    </row>
    <row r="625" spans="1:5" ht="15">
      <c r="A625" s="13">
        <v>60540</v>
      </c>
      <c r="B625" s="4">
        <f>70.5048 * CHOOSE(CONTROL!$C$9, $C$13, 100%, $E$13) + CHOOSE(CONTROL!$C$28, 0.0311, 0)</f>
        <v>70.535899999999998</v>
      </c>
      <c r="C625" s="4">
        <f>70.1415 * CHOOSE(CONTROL!$C$9, $C$13, 100%, $E$13) + CHOOSE(CONTROL!$C$28, 0.0311, 0)</f>
        <v>70.172599999999989</v>
      </c>
      <c r="D625" s="4">
        <f>70.8698 * CHOOSE(CONTROL!$C$9, $C$13, 100%, $E$13) + CHOOSE(CONTROL!$C$28, 0, 0)</f>
        <v>70.869799999999998</v>
      </c>
      <c r="E625" s="4">
        <f>413.356857394729 * CHOOSE(CONTROL!$C$9, $C$13, 100%, $E$13) + CHOOSE(CONTROL!$C$28, 0, 0)</f>
        <v>413.35685739472899</v>
      </c>
    </row>
    <row r="626" spans="1:5" ht="15">
      <c r="A626" s="13">
        <v>60571</v>
      </c>
      <c r="B626" s="4">
        <f>68.188 * CHOOSE(CONTROL!$C$9, $C$13, 100%, $E$13) + CHOOSE(CONTROL!$C$28, 0.0003, 0)</f>
        <v>68.188299999999998</v>
      </c>
      <c r="C626" s="4">
        <f>67.8247 * CHOOSE(CONTROL!$C$9, $C$13, 100%, $E$13) + CHOOSE(CONTROL!$C$28, 0.0003, 0)</f>
        <v>67.825000000000003</v>
      </c>
      <c r="D626" s="4">
        <f>69.9188 * CHOOSE(CONTROL!$C$9, $C$13, 100%, $E$13) + CHOOSE(CONTROL!$C$28, 0, 0)</f>
        <v>69.918800000000005</v>
      </c>
      <c r="E626" s="4">
        <f>399.622886296824 * CHOOSE(CONTROL!$C$9, $C$13, 100%, $E$13) + CHOOSE(CONTROL!$C$28, 0, 0)</f>
        <v>399.62288629682399</v>
      </c>
    </row>
    <row r="627" spans="1:5" ht="15">
      <c r="A627" s="13">
        <v>60601</v>
      </c>
      <c r="B627" s="4">
        <f>66.6957 * CHOOSE(CONTROL!$C$9, $C$13, 100%, $E$13) + CHOOSE(CONTROL!$C$28, 0.0003, 0)</f>
        <v>66.695999999999998</v>
      </c>
      <c r="C627" s="4">
        <f>66.3324 * CHOOSE(CONTROL!$C$9, $C$13, 100%, $E$13) + CHOOSE(CONTROL!$C$28, 0.0003, 0)</f>
        <v>66.332700000000003</v>
      </c>
      <c r="D627" s="4">
        <f>69.5918 * CHOOSE(CONTROL!$C$9, $C$13, 100%, $E$13) + CHOOSE(CONTROL!$C$28, 0, 0)</f>
        <v>69.591800000000006</v>
      </c>
      <c r="E627" s="4">
        <f>390.777183321023 * CHOOSE(CONTROL!$C$9, $C$13, 100%, $E$13) + CHOOSE(CONTROL!$C$28, 0, 0)</f>
        <v>390.77718332102302</v>
      </c>
    </row>
    <row r="628" spans="1:5" ht="15">
      <c r="A628" s="13">
        <v>60632</v>
      </c>
      <c r="B628" s="4">
        <f>65.6633 * CHOOSE(CONTROL!$C$9, $C$13, 100%, $E$13) + CHOOSE(CONTROL!$C$28, 0.0003, 0)</f>
        <v>65.663600000000002</v>
      </c>
      <c r="C628" s="4">
        <f>65.3 * CHOOSE(CONTROL!$C$9, $C$13, 100%, $E$13) + CHOOSE(CONTROL!$C$28, 0.0003, 0)</f>
        <v>65.300299999999993</v>
      </c>
      <c r="D628" s="4">
        <f>67.1848 * CHOOSE(CONTROL!$C$9, $C$13, 100%, $E$13) + CHOOSE(CONTROL!$C$28, 0, 0)</f>
        <v>67.184799999999996</v>
      </c>
      <c r="E628" s="4">
        <f>384.657093927557 * CHOOSE(CONTROL!$C$9, $C$13, 100%, $E$13) + CHOOSE(CONTROL!$C$28, 0, 0)</f>
        <v>384.65709392755701</v>
      </c>
    </row>
    <row r="629" spans="1:5" ht="15">
      <c r="A629" s="13">
        <v>60663</v>
      </c>
      <c r="B629" s="4">
        <f>63.9858 * CHOOSE(CONTROL!$C$9, $C$13, 100%, $E$13) + CHOOSE(CONTROL!$C$28, 0.0003, 0)</f>
        <v>63.9861</v>
      </c>
      <c r="C629" s="4">
        <f>63.6225 * CHOOSE(CONTROL!$C$9, $C$13, 100%, $E$13) + CHOOSE(CONTROL!$C$28, 0.0003, 0)</f>
        <v>63.622800000000005</v>
      </c>
      <c r="D629" s="4">
        <f>64.9725 * CHOOSE(CONTROL!$C$9, $C$13, 100%, $E$13) + CHOOSE(CONTROL!$C$28, 0, 0)</f>
        <v>64.972499999999997</v>
      </c>
      <c r="E629" s="4">
        <f>373.626594285289 * CHOOSE(CONTROL!$C$9, $C$13, 100%, $E$13) + CHOOSE(CONTROL!$C$28, 0, 0)</f>
        <v>373.626594285289</v>
      </c>
    </row>
    <row r="630" spans="1:5" ht="15">
      <c r="A630" s="13">
        <v>60691</v>
      </c>
      <c r="B630" s="4">
        <f>65.4867 * CHOOSE(CONTROL!$C$9, $C$13, 100%, $E$13) + CHOOSE(CONTROL!$C$28, 0.0003, 0)</f>
        <v>65.486999999999995</v>
      </c>
      <c r="C630" s="4">
        <f>65.1234 * CHOOSE(CONTROL!$C$9, $C$13, 100%, $E$13) + CHOOSE(CONTROL!$C$28, 0.0003, 0)</f>
        <v>65.123699999999999</v>
      </c>
      <c r="D630" s="4">
        <f>67.2003 * CHOOSE(CONTROL!$C$9, $C$13, 100%, $E$13) + CHOOSE(CONTROL!$C$28, 0, 0)</f>
        <v>67.200299999999999</v>
      </c>
      <c r="E630" s="4">
        <f>382.497962062195 * CHOOSE(CONTROL!$C$9, $C$13, 100%, $E$13) + CHOOSE(CONTROL!$C$28, 0, 0)</f>
        <v>382.49796206219497</v>
      </c>
    </row>
    <row r="631" spans="1:5" ht="15">
      <c r="A631" s="13">
        <v>60722</v>
      </c>
      <c r="B631" s="4">
        <f>69.4282 * CHOOSE(CONTROL!$C$9, $C$13, 100%, $E$13) + CHOOSE(CONTROL!$C$28, 0.0003, 0)</f>
        <v>69.4285</v>
      </c>
      <c r="C631" s="4">
        <f>69.0649 * CHOOSE(CONTROL!$C$9, $C$13, 100%, $E$13) + CHOOSE(CONTROL!$C$28, 0.0003, 0)</f>
        <v>69.06519999999999</v>
      </c>
      <c r="D631" s="4">
        <f>70.6877 * CHOOSE(CONTROL!$C$9, $C$13, 100%, $E$13) + CHOOSE(CONTROL!$C$28, 0, 0)</f>
        <v>70.687700000000007</v>
      </c>
      <c r="E631" s="4">
        <f>405.794645297464 * CHOOSE(CONTROL!$C$9, $C$13, 100%, $E$13) + CHOOSE(CONTROL!$C$28, 0, 0)</f>
        <v>405.794645297464</v>
      </c>
    </row>
    <row r="632" spans="1:5" ht="15">
      <c r="A632" s="13">
        <v>60752</v>
      </c>
      <c r="B632" s="4">
        <f>72.2287 * CHOOSE(CONTROL!$C$9, $C$13, 100%, $E$13) + CHOOSE(CONTROL!$C$28, 0.0003, 0)</f>
        <v>72.228999999999999</v>
      </c>
      <c r="C632" s="4">
        <f>71.8654 * CHOOSE(CONTROL!$C$9, $C$13, 100%, $E$13) + CHOOSE(CONTROL!$C$28, 0.0003, 0)</f>
        <v>71.86569999999999</v>
      </c>
      <c r="D632" s="4">
        <f>72.6966 * CHOOSE(CONTROL!$C$9, $C$13, 100%, $E$13) + CHOOSE(CONTROL!$C$28, 0, 0)</f>
        <v>72.696600000000004</v>
      </c>
      <c r="E632" s="4">
        <f>422.347249205249 * CHOOSE(CONTROL!$C$9, $C$13, 100%, $E$13) + CHOOSE(CONTROL!$C$28, 0, 0)</f>
        <v>422.347249205249</v>
      </c>
    </row>
    <row r="633" spans="1:5" ht="15">
      <c r="A633" s="13">
        <v>60783</v>
      </c>
      <c r="B633" s="4">
        <f>73.9397 * CHOOSE(CONTROL!$C$9, $C$13, 100%, $E$13) + CHOOSE(CONTROL!$C$28, 0.0311, 0)</f>
        <v>73.970799999999997</v>
      </c>
      <c r="C633" s="4">
        <f>73.5764 * CHOOSE(CONTROL!$C$9, $C$13, 100%, $E$13) + CHOOSE(CONTROL!$C$28, 0.0311, 0)</f>
        <v>73.607500000000002</v>
      </c>
      <c r="D633" s="4">
        <f>71.9028 * CHOOSE(CONTROL!$C$9, $C$13, 100%, $E$13) + CHOOSE(CONTROL!$C$28, 0, 0)</f>
        <v>71.902799999999999</v>
      </c>
      <c r="E633" s="4">
        <f>432.460493482356 * CHOOSE(CONTROL!$C$9, $C$13, 100%, $E$13) + CHOOSE(CONTROL!$C$28, 0, 0)</f>
        <v>432.46049348235601</v>
      </c>
    </row>
    <row r="634" spans="1:5" ht="15">
      <c r="A634" s="13">
        <v>60813</v>
      </c>
      <c r="B634" s="4">
        <f>74.1712 * CHOOSE(CONTROL!$C$9, $C$13, 100%, $E$13) + CHOOSE(CONTROL!$C$28, 0.0311, 0)</f>
        <v>74.202299999999994</v>
      </c>
      <c r="C634" s="4">
        <f>73.8079 * CHOOSE(CONTROL!$C$9, $C$13, 100%, $E$13) + CHOOSE(CONTROL!$C$28, 0.0311, 0)</f>
        <v>73.838999999999999</v>
      </c>
      <c r="D634" s="4">
        <f>72.5492 * CHOOSE(CONTROL!$C$9, $C$13, 100%, $E$13) + CHOOSE(CONTROL!$C$28, 0, 0)</f>
        <v>72.549199999999999</v>
      </c>
      <c r="E634" s="4">
        <f>433.828857403875 * CHOOSE(CONTROL!$C$9, $C$13, 100%, $E$13) + CHOOSE(CONTROL!$C$28, 0, 0)</f>
        <v>433.82885740387502</v>
      </c>
    </row>
    <row r="635" spans="1:5" ht="15">
      <c r="A635" s="13">
        <v>60844</v>
      </c>
      <c r="B635" s="4">
        <f>74.1478 * CHOOSE(CONTROL!$C$9, $C$13, 100%, $E$13) + CHOOSE(CONTROL!$C$28, 0.0311, 0)</f>
        <v>74.178899999999999</v>
      </c>
      <c r="C635" s="4">
        <f>73.7846 * CHOOSE(CONTROL!$C$9, $C$13, 100%, $E$13) + CHOOSE(CONTROL!$C$28, 0.0311, 0)</f>
        <v>73.815699999999993</v>
      </c>
      <c r="D635" s="4">
        <f>73.7158 * CHOOSE(CONTROL!$C$9, $C$13, 100%, $E$13) + CHOOSE(CONTROL!$C$28, 0, 0)</f>
        <v>73.715800000000002</v>
      </c>
      <c r="E635" s="4">
        <f>433.690871126075 * CHOOSE(CONTROL!$C$9, $C$13, 100%, $E$13) + CHOOSE(CONTROL!$C$28, 0, 0)</f>
        <v>433.69087112607502</v>
      </c>
    </row>
    <row r="636" spans="1:5" ht="15">
      <c r="A636" s="13">
        <v>60875</v>
      </c>
      <c r="B636" s="4">
        <f>75.9046 * CHOOSE(CONTROL!$C$9, $C$13, 100%, $E$13) + CHOOSE(CONTROL!$C$28, 0.0311, 0)</f>
        <v>75.935699999999997</v>
      </c>
      <c r="C636" s="4">
        <f>75.5413 * CHOOSE(CONTROL!$C$9, $C$13, 100%, $E$13) + CHOOSE(CONTROL!$C$28, 0.0311, 0)</f>
        <v>75.572400000000002</v>
      </c>
      <c r="D636" s="4">
        <f>72.9454 * CHOOSE(CONTROL!$C$9, $C$13, 100%, $E$13) + CHOOSE(CONTROL!$C$28, 0, 0)</f>
        <v>72.945400000000006</v>
      </c>
      <c r="E636" s="4">
        <f>444.074338530541 * CHOOSE(CONTROL!$C$9, $C$13, 100%, $E$13) + CHOOSE(CONTROL!$C$28, 0, 0)</f>
        <v>444.07433853054101</v>
      </c>
    </row>
    <row r="637" spans="1:5" ht="15">
      <c r="A637" s="13">
        <v>60905</v>
      </c>
      <c r="B637" s="4">
        <f>72.9105 * CHOOSE(CONTROL!$C$9, $C$13, 100%, $E$13) + CHOOSE(CONTROL!$C$28, 0.0311, 0)</f>
        <v>72.941599999999994</v>
      </c>
      <c r="C637" s="4">
        <f>72.5473 * CHOOSE(CONTROL!$C$9, $C$13, 100%, $E$13) + CHOOSE(CONTROL!$C$28, 0.0311, 0)</f>
        <v>72.578400000000002</v>
      </c>
      <c r="D637" s="4">
        <f>72.5814 * CHOOSE(CONTROL!$C$9, $C$13, 100%, $E$13) + CHOOSE(CONTROL!$C$28, 0, 0)</f>
        <v>72.581400000000002</v>
      </c>
      <c r="E637" s="4">
        <f>426.377598402663 * CHOOSE(CONTROL!$C$9, $C$13, 100%, $E$13) + CHOOSE(CONTROL!$C$28, 0, 0)</f>
        <v>426.37759840266301</v>
      </c>
    </row>
    <row r="638" spans="1:5" ht="15">
      <c r="A638" s="13">
        <v>60936</v>
      </c>
      <c r="B638" s="4">
        <f>70.5138 * CHOOSE(CONTROL!$C$9, $C$13, 100%, $E$13) + CHOOSE(CONTROL!$C$28, 0.0003, 0)</f>
        <v>70.514099999999999</v>
      </c>
      <c r="C638" s="4">
        <f>70.1505 * CHOOSE(CONTROL!$C$9, $C$13, 100%, $E$13) + CHOOSE(CONTROL!$C$28, 0.0003, 0)</f>
        <v>70.15079999999999</v>
      </c>
      <c r="D638" s="4">
        <f>71.6068 * CHOOSE(CONTROL!$C$9, $C$13, 100%, $E$13) + CHOOSE(CONTROL!$C$28, 0, 0)</f>
        <v>71.606800000000007</v>
      </c>
      <c r="E638" s="4">
        <f>412.211007215174 * CHOOSE(CONTROL!$C$9, $C$13, 100%, $E$13) + CHOOSE(CONTROL!$C$28, 0, 0)</f>
        <v>412.21100721517399</v>
      </c>
    </row>
    <row r="639" spans="1:5" ht="15">
      <c r="A639" s="13">
        <v>60966</v>
      </c>
      <c r="B639" s="4">
        <f>68.97 * CHOOSE(CONTROL!$C$9, $C$13, 100%, $E$13) + CHOOSE(CONTROL!$C$28, 0.0003, 0)</f>
        <v>68.970299999999995</v>
      </c>
      <c r="C639" s="4">
        <f>68.6068 * CHOOSE(CONTROL!$C$9, $C$13, 100%, $E$13) + CHOOSE(CONTROL!$C$28, 0.0003, 0)</f>
        <v>68.607100000000003</v>
      </c>
      <c r="D639" s="4">
        <f>71.2718 * CHOOSE(CONTROL!$C$9, $C$13, 100%, $E$13) + CHOOSE(CONTROL!$C$28, 0, 0)</f>
        <v>71.271799999999999</v>
      </c>
      <c r="E639" s="4">
        <f>403.086664595635 * CHOOSE(CONTROL!$C$9, $C$13, 100%, $E$13) + CHOOSE(CONTROL!$C$28, 0, 0)</f>
        <v>403.086664595635</v>
      </c>
    </row>
    <row r="640" spans="1:5" ht="15">
      <c r="A640" s="13">
        <v>60997</v>
      </c>
      <c r="B640" s="4">
        <f>67.902 * CHOOSE(CONTROL!$C$9, $C$13, 100%, $E$13) + CHOOSE(CONTROL!$C$28, 0.0003, 0)</f>
        <v>67.902299999999997</v>
      </c>
      <c r="C640" s="4">
        <f>67.5387 * CHOOSE(CONTROL!$C$9, $C$13, 100%, $E$13) + CHOOSE(CONTROL!$C$28, 0.0003, 0)</f>
        <v>67.539000000000001</v>
      </c>
      <c r="D640" s="4">
        <f>68.805 * CHOOSE(CONTROL!$C$9, $C$13, 100%, $E$13) + CHOOSE(CONTROL!$C$28, 0, 0)</f>
        <v>68.805000000000007</v>
      </c>
      <c r="E640" s="4">
        <f>396.773792386275 * CHOOSE(CONTROL!$C$9, $C$13, 100%, $E$13) + CHOOSE(CONTROL!$C$28, 0, 0)</f>
        <v>396.77379238627498</v>
      </c>
    </row>
    <row r="641" spans="1:5" ht="15">
      <c r="A641" s="13">
        <v>61028</v>
      </c>
      <c r="B641" s="4">
        <f>66.1666 * CHOOSE(CONTROL!$C$9, $C$13, 100%, $E$13) + CHOOSE(CONTROL!$C$28, 0.0003, 0)</f>
        <v>66.166899999999998</v>
      </c>
      <c r="C641" s="4">
        <f>65.8034 * CHOOSE(CONTROL!$C$9, $C$13, 100%, $E$13) + CHOOSE(CONTROL!$C$28, 0.0003, 0)</f>
        <v>65.803699999999992</v>
      </c>
      <c r="D641" s="4">
        <f>66.5379 * CHOOSE(CONTROL!$C$9, $C$13, 100%, $E$13) + CHOOSE(CONTROL!$C$28, 0, 0)</f>
        <v>66.537899999999993</v>
      </c>
      <c r="E641" s="4">
        <f>385.395832005276 * CHOOSE(CONTROL!$C$9, $C$13, 100%, $E$13) + CHOOSE(CONTROL!$C$28, 0, 0)</f>
        <v>385.39583200527602</v>
      </c>
    </row>
    <row r="642" spans="1:5" ht="15">
      <c r="A642" s="13">
        <v>61056</v>
      </c>
      <c r="B642" s="4">
        <f>67.7193 * CHOOSE(CONTROL!$C$9, $C$13, 100%, $E$13) + CHOOSE(CONTROL!$C$28, 0.0003, 0)</f>
        <v>67.7196</v>
      </c>
      <c r="C642" s="4">
        <f>67.3561 * CHOOSE(CONTROL!$C$9, $C$13, 100%, $E$13) + CHOOSE(CONTROL!$C$28, 0.0003, 0)</f>
        <v>67.356399999999994</v>
      </c>
      <c r="D642" s="4">
        <f>68.8209 * CHOOSE(CONTROL!$C$9, $C$13, 100%, $E$13) + CHOOSE(CONTROL!$C$28, 0, 0)</f>
        <v>68.820899999999995</v>
      </c>
      <c r="E642" s="4">
        <f>394.546647867154 * CHOOSE(CONTROL!$C$9, $C$13, 100%, $E$13) + CHOOSE(CONTROL!$C$28, 0, 0)</f>
        <v>394.54664786715398</v>
      </c>
    </row>
    <row r="643" spans="1:5" ht="15">
      <c r="A643" s="13">
        <v>61087</v>
      </c>
      <c r="B643" s="4">
        <f>71.7968 * CHOOSE(CONTROL!$C$9, $C$13, 100%, $E$13) + CHOOSE(CONTROL!$C$28, 0.0003, 0)</f>
        <v>71.7971</v>
      </c>
      <c r="C643" s="4">
        <f>71.4335 * CHOOSE(CONTROL!$C$9, $C$13, 100%, $E$13) + CHOOSE(CONTROL!$C$28, 0.0003, 0)</f>
        <v>71.433799999999991</v>
      </c>
      <c r="D643" s="4">
        <f>72.3948 * CHOOSE(CONTROL!$C$9, $C$13, 100%, $E$13) + CHOOSE(CONTROL!$C$28, 0, 0)</f>
        <v>72.394800000000004</v>
      </c>
      <c r="E643" s="4">
        <f>418.577176624335 * CHOOSE(CONTROL!$C$9, $C$13, 100%, $E$13) + CHOOSE(CONTROL!$C$28, 0, 0)</f>
        <v>418.57717662433498</v>
      </c>
    </row>
    <row r="644" spans="1:5" ht="15">
      <c r="A644" s="13">
        <v>61117</v>
      </c>
      <c r="B644" s="4">
        <f>74.6939 * CHOOSE(CONTROL!$C$9, $C$13, 100%, $E$13) + CHOOSE(CONTROL!$C$28, 0.0003, 0)</f>
        <v>74.694199999999995</v>
      </c>
      <c r="C644" s="4">
        <f>74.3306 * CHOOSE(CONTROL!$C$9, $C$13, 100%, $E$13) + CHOOSE(CONTROL!$C$28, 0.0003, 0)</f>
        <v>74.3309</v>
      </c>
      <c r="D644" s="4">
        <f>74.4535 * CHOOSE(CONTROL!$C$9, $C$13, 100%, $E$13) + CHOOSE(CONTROL!$C$28, 0, 0)</f>
        <v>74.453500000000005</v>
      </c>
      <c r="E644" s="4">
        <f>435.651187555214 * CHOOSE(CONTROL!$C$9, $C$13, 100%, $E$13) + CHOOSE(CONTROL!$C$28, 0, 0)</f>
        <v>435.65118755521399</v>
      </c>
    </row>
    <row r="645" spans="1:5" ht="15">
      <c r="A645" s="13">
        <v>61148</v>
      </c>
      <c r="B645" s="4">
        <f>76.4639 * CHOOSE(CONTROL!$C$9, $C$13, 100%, $E$13) + CHOOSE(CONTROL!$C$28, 0.0311, 0)</f>
        <v>76.49499999999999</v>
      </c>
      <c r="C645" s="4">
        <f>76.1006 * CHOOSE(CONTROL!$C$9, $C$13, 100%, $E$13) + CHOOSE(CONTROL!$C$28, 0.0311, 0)</f>
        <v>76.131699999999995</v>
      </c>
      <c r="D645" s="4">
        <f>73.64 * CHOOSE(CONTROL!$C$9, $C$13, 100%, $E$13) + CHOOSE(CONTROL!$C$28, 0, 0)</f>
        <v>73.64</v>
      </c>
      <c r="E645" s="4">
        <f>446.08299902705 * CHOOSE(CONTROL!$C$9, $C$13, 100%, $E$13) + CHOOSE(CONTROL!$C$28, 0, 0)</f>
        <v>446.08299902704999</v>
      </c>
    </row>
    <row r="646" spans="1:5" ht="15">
      <c r="A646" s="13">
        <v>61178</v>
      </c>
      <c r="B646" s="4">
        <f>76.7034 * CHOOSE(CONTROL!$C$9, $C$13, 100%, $E$13) + CHOOSE(CONTROL!$C$28, 0.0311, 0)</f>
        <v>76.734499999999997</v>
      </c>
      <c r="C646" s="4">
        <f>76.3401 * CHOOSE(CONTROL!$C$9, $C$13, 100%, $E$13) + CHOOSE(CONTROL!$C$28, 0.0311, 0)</f>
        <v>76.371200000000002</v>
      </c>
      <c r="D646" s="4">
        <f>74.3025 * CHOOSE(CONTROL!$C$9, $C$13, 100%, $E$13) + CHOOSE(CONTROL!$C$28, 0, 0)</f>
        <v>74.302499999999995</v>
      </c>
      <c r="E646" s="4">
        <f>447.494466412097 * CHOOSE(CONTROL!$C$9, $C$13, 100%, $E$13) + CHOOSE(CONTROL!$C$28, 0, 0)</f>
        <v>447.49446641209698</v>
      </c>
    </row>
    <row r="647" spans="1:5" ht="15">
      <c r="A647" s="13">
        <v>61209</v>
      </c>
      <c r="B647" s="4">
        <f>76.6793 * CHOOSE(CONTROL!$C$9, $C$13, 100%, $E$13) + CHOOSE(CONTROL!$C$28, 0.0311, 0)</f>
        <v>76.710399999999993</v>
      </c>
      <c r="C647" s="4">
        <f>76.316 * CHOOSE(CONTROL!$C$9, $C$13, 100%, $E$13) + CHOOSE(CONTROL!$C$28, 0.0311, 0)</f>
        <v>76.347099999999998</v>
      </c>
      <c r="D647" s="4">
        <f>75.498 * CHOOSE(CONTROL!$C$9, $C$13, 100%, $E$13) + CHOOSE(CONTROL!$C$28, 0, 0)</f>
        <v>75.498000000000005</v>
      </c>
      <c r="E647" s="4">
        <f>447.352133566546 * CHOOSE(CONTROL!$C$9, $C$13, 100%, $E$13) + CHOOSE(CONTROL!$C$28, 0, 0)</f>
        <v>447.352133566546</v>
      </c>
    </row>
    <row r="648" spans="1:5" ht="15">
      <c r="A648" s="13">
        <v>61240</v>
      </c>
      <c r="B648" s="4">
        <f>78.4966 * CHOOSE(CONTROL!$C$9, $C$13, 100%, $E$13) + CHOOSE(CONTROL!$C$28, 0.0311, 0)</f>
        <v>78.527699999999996</v>
      </c>
      <c r="C648" s="4">
        <f>78.1333 * CHOOSE(CONTROL!$C$9, $C$13, 100%, $E$13) + CHOOSE(CONTROL!$C$28, 0.0311, 0)</f>
        <v>78.164400000000001</v>
      </c>
      <c r="D648" s="4">
        <f>74.7085 * CHOOSE(CONTROL!$C$9, $C$13, 100%, $E$13) + CHOOSE(CONTROL!$C$28, 0, 0)</f>
        <v>74.708500000000001</v>
      </c>
      <c r="E648" s="4">
        <f>458.062680194253 * CHOOSE(CONTROL!$C$9, $C$13, 100%, $E$13) + CHOOSE(CONTROL!$C$28, 0, 0)</f>
        <v>458.06268019425301</v>
      </c>
    </row>
    <row r="649" spans="1:5" ht="15">
      <c r="A649" s="13">
        <v>61270</v>
      </c>
      <c r="B649" s="4">
        <f>75.3993 * CHOOSE(CONTROL!$C$9, $C$13, 100%, $E$13) + CHOOSE(CONTROL!$C$28, 0.0311, 0)</f>
        <v>75.430399999999992</v>
      </c>
      <c r="C649" s="4">
        <f>75.036 * CHOOSE(CONTROL!$C$9, $C$13, 100%, $E$13) + CHOOSE(CONTROL!$C$28, 0.0311, 0)</f>
        <v>75.067099999999996</v>
      </c>
      <c r="D649" s="4">
        <f>74.3355 * CHOOSE(CONTROL!$C$9, $C$13, 100%, $E$13) + CHOOSE(CONTROL!$C$28, 0, 0)</f>
        <v>74.335499999999996</v>
      </c>
      <c r="E649" s="4">
        <f>439.808492752347 * CHOOSE(CONTROL!$C$9, $C$13, 100%, $E$13) + CHOOSE(CONTROL!$C$28, 0, 0)</f>
        <v>439.80849275234698</v>
      </c>
    </row>
    <row r="650" spans="1:5" ht="15">
      <c r="A650" s="13">
        <v>61301</v>
      </c>
      <c r="B650" s="4">
        <f>72.9198 * CHOOSE(CONTROL!$C$9, $C$13, 100%, $E$13) + CHOOSE(CONTROL!$C$28, 0.0003, 0)</f>
        <v>72.920099999999991</v>
      </c>
      <c r="C650" s="4">
        <f>72.5565 * CHOOSE(CONTROL!$C$9, $C$13, 100%, $E$13) + CHOOSE(CONTROL!$C$28, 0.0003, 0)</f>
        <v>72.556799999999996</v>
      </c>
      <c r="D650" s="4">
        <f>73.3368 * CHOOSE(CONTROL!$C$9, $C$13, 100%, $E$13) + CHOOSE(CONTROL!$C$28, 0, 0)</f>
        <v>73.336799999999997</v>
      </c>
      <c r="E650" s="4">
        <f>425.195653942452 * CHOOSE(CONTROL!$C$9, $C$13, 100%, $E$13) + CHOOSE(CONTROL!$C$28, 0, 0)</f>
        <v>425.195653942452</v>
      </c>
    </row>
    <row r="651" spans="1:5" ht="15">
      <c r="A651" s="13">
        <v>61331</v>
      </c>
      <c r="B651" s="4">
        <f>71.3228 * CHOOSE(CONTROL!$C$9, $C$13, 100%, $E$13) + CHOOSE(CONTROL!$C$28, 0.0003, 0)</f>
        <v>71.323099999999997</v>
      </c>
      <c r="C651" s="4">
        <f>70.9595 * CHOOSE(CONTROL!$C$9, $C$13, 100%, $E$13) + CHOOSE(CONTROL!$C$28, 0.0003, 0)</f>
        <v>70.959800000000001</v>
      </c>
      <c r="D651" s="4">
        <f>72.9934 * CHOOSE(CONTROL!$C$9, $C$13, 100%, $E$13) + CHOOSE(CONTROL!$C$28, 0, 0)</f>
        <v>72.993399999999994</v>
      </c>
      <c r="E651" s="4">
        <f>415.783894530398 * CHOOSE(CONTROL!$C$9, $C$13, 100%, $E$13) + CHOOSE(CONTROL!$C$28, 0, 0)</f>
        <v>415.78389453039802</v>
      </c>
    </row>
    <row r="652" spans="1:5" ht="15">
      <c r="A652" s="13">
        <v>61362</v>
      </c>
      <c r="B652" s="4">
        <f>70.2179 * CHOOSE(CONTROL!$C$9, $C$13, 100%, $E$13) + CHOOSE(CONTROL!$C$28, 0.0003, 0)</f>
        <v>70.218199999999996</v>
      </c>
      <c r="C652" s="4">
        <f>69.8546 * CHOOSE(CONTROL!$C$9, $C$13, 100%, $E$13) + CHOOSE(CONTROL!$C$28, 0.0003, 0)</f>
        <v>69.854900000000001</v>
      </c>
      <c r="D652" s="4">
        <f>70.4655 * CHOOSE(CONTROL!$C$9, $C$13, 100%, $E$13) + CHOOSE(CONTROL!$C$28, 0, 0)</f>
        <v>70.465500000000006</v>
      </c>
      <c r="E652" s="4">
        <f>409.272166846443 * CHOOSE(CONTROL!$C$9, $C$13, 100%, $E$13) + CHOOSE(CONTROL!$C$28, 0, 0)</f>
        <v>409.27216684644299</v>
      </c>
    </row>
    <row r="653" spans="1:5" ht="15">
      <c r="A653" s="13">
        <v>61393</v>
      </c>
      <c r="B653" s="4">
        <f>68.4227 * CHOOSE(CONTROL!$C$9, $C$13, 100%, $E$13) + CHOOSE(CONTROL!$C$28, 0.0003, 0)</f>
        <v>68.423000000000002</v>
      </c>
      <c r="C653" s="4">
        <f>68.0594 * CHOOSE(CONTROL!$C$9, $C$13, 100%, $E$13) + CHOOSE(CONTROL!$C$28, 0.0003, 0)</f>
        <v>68.059699999999992</v>
      </c>
      <c r="D653" s="4">
        <f>68.1421 * CHOOSE(CONTROL!$C$9, $C$13, 100%, $E$13) + CHOOSE(CONTROL!$C$28, 0, 0)</f>
        <v>68.142099999999999</v>
      </c>
      <c r="E653" s="4">
        <f>397.535800713442 * CHOOSE(CONTROL!$C$9, $C$13, 100%, $E$13) + CHOOSE(CONTROL!$C$28, 0, 0)</f>
        <v>397.53580071344197</v>
      </c>
    </row>
    <row r="654" spans="1:5" ht="15">
      <c r="A654" s="13">
        <v>61422</v>
      </c>
      <c r="B654" s="4">
        <f>70.029 * CHOOSE(CONTROL!$C$9, $C$13, 100%, $E$13) + CHOOSE(CONTROL!$C$28, 0.0003, 0)</f>
        <v>70.029299999999992</v>
      </c>
      <c r="C654" s="4">
        <f>69.6657 * CHOOSE(CONTROL!$C$9, $C$13, 100%, $E$13) + CHOOSE(CONTROL!$C$28, 0.0003, 0)</f>
        <v>69.665999999999997</v>
      </c>
      <c r="D654" s="4">
        <f>70.4818 * CHOOSE(CONTROL!$C$9, $C$13, 100%, $E$13) + CHOOSE(CONTROL!$C$28, 0, 0)</f>
        <v>70.481800000000007</v>
      </c>
      <c r="E654" s="4">
        <f>406.97486727497 * CHOOSE(CONTROL!$C$9, $C$13, 100%, $E$13) + CHOOSE(CONTROL!$C$28, 0, 0)</f>
        <v>406.97486727496999</v>
      </c>
    </row>
    <row r="655" spans="1:5" ht="15">
      <c r="A655" s="13">
        <v>61453</v>
      </c>
      <c r="B655" s="4">
        <f>74.2471 * CHOOSE(CONTROL!$C$9, $C$13, 100%, $E$13) + CHOOSE(CONTROL!$C$28, 0.0003, 0)</f>
        <v>74.247399999999999</v>
      </c>
      <c r="C655" s="4">
        <f>73.8838 * CHOOSE(CONTROL!$C$9, $C$13, 100%, $E$13) + CHOOSE(CONTROL!$C$28, 0.0003, 0)</f>
        <v>73.884099999999989</v>
      </c>
      <c r="D655" s="4">
        <f>74.1443 * CHOOSE(CONTROL!$C$9, $C$13, 100%, $E$13) + CHOOSE(CONTROL!$C$28, 0, 0)</f>
        <v>74.144300000000001</v>
      </c>
      <c r="E655" s="4">
        <f>431.762357688001 * CHOOSE(CONTROL!$C$9, $C$13, 100%, $E$13) + CHOOSE(CONTROL!$C$28, 0, 0)</f>
        <v>431.76235768800098</v>
      </c>
    </row>
    <row r="656" spans="1:5" ht="15">
      <c r="A656" s="13">
        <v>61483</v>
      </c>
      <c r="B656" s="4">
        <f>77.2441 * CHOOSE(CONTROL!$C$9, $C$13, 100%, $E$13) + CHOOSE(CONTROL!$C$28, 0.0003, 0)</f>
        <v>77.244399999999999</v>
      </c>
      <c r="C656" s="4">
        <f>76.8808 * CHOOSE(CONTROL!$C$9, $C$13, 100%, $E$13) + CHOOSE(CONTROL!$C$28, 0.0003, 0)</f>
        <v>76.881099999999989</v>
      </c>
      <c r="D656" s="4">
        <f>76.254 * CHOOSE(CONTROL!$C$9, $C$13, 100%, $E$13) + CHOOSE(CONTROL!$C$28, 0, 0)</f>
        <v>76.254000000000005</v>
      </c>
      <c r="E656" s="4">
        <f>449.374199963203 * CHOOSE(CONTROL!$C$9, $C$13, 100%, $E$13) + CHOOSE(CONTROL!$C$28, 0, 0)</f>
        <v>449.37419996320301</v>
      </c>
    </row>
    <row r="657" spans="1:5" ht="15">
      <c r="A657" s="13">
        <v>61514</v>
      </c>
      <c r="B657" s="4">
        <f>79.0752 * CHOOSE(CONTROL!$C$9, $C$13, 100%, $E$13) + CHOOSE(CONTROL!$C$28, 0.0311, 0)</f>
        <v>79.10629999999999</v>
      </c>
      <c r="C657" s="4">
        <f>78.712 * CHOOSE(CONTROL!$C$9, $C$13, 100%, $E$13) + CHOOSE(CONTROL!$C$28, 0.0311, 0)</f>
        <v>78.743099999999998</v>
      </c>
      <c r="D657" s="4">
        <f>75.4204 * CHOOSE(CONTROL!$C$9, $C$13, 100%, $E$13) + CHOOSE(CONTROL!$C$28, 0, 0)</f>
        <v>75.420400000000001</v>
      </c>
      <c r="E657" s="4">
        <f>460.134613496402 * CHOOSE(CONTROL!$C$9, $C$13, 100%, $E$13) + CHOOSE(CONTROL!$C$28, 0, 0)</f>
        <v>460.13461349640198</v>
      </c>
    </row>
    <row r="658" spans="1:5" ht="15">
      <c r="A658" s="13">
        <v>61544</v>
      </c>
      <c r="B658" s="4">
        <f>79.323 * CHOOSE(CONTROL!$C$9, $C$13, 100%, $E$13) + CHOOSE(CONTROL!$C$28, 0.0311, 0)</f>
        <v>79.354099999999988</v>
      </c>
      <c r="C658" s="4">
        <f>78.9597 * CHOOSE(CONTROL!$C$9, $C$13, 100%, $E$13) + CHOOSE(CONTROL!$C$28, 0.0311, 0)</f>
        <v>78.990799999999993</v>
      </c>
      <c r="D658" s="4">
        <f>76.0993 * CHOOSE(CONTROL!$C$9, $C$13, 100%, $E$13) + CHOOSE(CONTROL!$C$28, 0, 0)</f>
        <v>76.099299999999999</v>
      </c>
      <c r="E658" s="4">
        <f>461.590542104078 * CHOOSE(CONTROL!$C$9, $C$13, 100%, $E$13) + CHOOSE(CONTROL!$C$28, 0, 0)</f>
        <v>461.590542104078</v>
      </c>
    </row>
    <row r="659" spans="1:5" ht="15">
      <c r="A659" s="13">
        <v>61575</v>
      </c>
      <c r="B659" s="4">
        <f>79.298 * CHOOSE(CONTROL!$C$9, $C$13, 100%, $E$13) + CHOOSE(CONTROL!$C$28, 0.0311, 0)</f>
        <v>79.329099999999997</v>
      </c>
      <c r="C659" s="4">
        <f>78.9347 * CHOOSE(CONTROL!$C$9, $C$13, 100%, $E$13) + CHOOSE(CONTROL!$C$28, 0.0311, 0)</f>
        <v>78.965800000000002</v>
      </c>
      <c r="D659" s="4">
        <f>77.3244 * CHOOSE(CONTROL!$C$9, $C$13, 100%, $E$13) + CHOOSE(CONTROL!$C$28, 0, 0)</f>
        <v>77.324399999999997</v>
      </c>
      <c r="E659" s="4">
        <f>461.443725773892 * CHOOSE(CONTROL!$C$9, $C$13, 100%, $E$13) + CHOOSE(CONTROL!$C$28, 0, 0)</f>
        <v>461.44372577389203</v>
      </c>
    </row>
    <row r="660" spans="1:5" ht="15">
      <c r="A660" s="13">
        <v>61606</v>
      </c>
      <c r="B660" s="4">
        <f>81.1781 * CHOOSE(CONTROL!$C$9, $C$13, 100%, $E$13) + CHOOSE(CONTROL!$C$28, 0.0311, 0)</f>
        <v>81.209199999999996</v>
      </c>
      <c r="C660" s="4">
        <f>80.8148 * CHOOSE(CONTROL!$C$9, $C$13, 100%, $E$13) + CHOOSE(CONTROL!$C$28, 0.0311, 0)</f>
        <v>80.8459</v>
      </c>
      <c r="D660" s="4">
        <f>76.5154 * CHOOSE(CONTROL!$C$9, $C$13, 100%, $E$13) + CHOOSE(CONTROL!$C$28, 0, 0)</f>
        <v>76.5154</v>
      </c>
      <c r="E660" s="4">
        <f>472.491654620372 * CHOOSE(CONTROL!$C$9, $C$13, 100%, $E$13) + CHOOSE(CONTROL!$C$28, 0, 0)</f>
        <v>472.491654620372</v>
      </c>
    </row>
    <row r="661" spans="1:5" ht="15">
      <c r="A661" s="13">
        <v>61636</v>
      </c>
      <c r="B661" s="4">
        <f>77.9739 * CHOOSE(CONTROL!$C$9, $C$13, 100%, $E$13) + CHOOSE(CONTROL!$C$28, 0.0311, 0)</f>
        <v>78.004999999999995</v>
      </c>
      <c r="C661" s="4">
        <f>77.6106 * CHOOSE(CONTROL!$C$9, $C$13, 100%, $E$13) + CHOOSE(CONTROL!$C$28, 0.0311, 0)</f>
        <v>77.6417</v>
      </c>
      <c r="D661" s="4">
        <f>76.1331 * CHOOSE(CONTROL!$C$9, $C$13, 100%, $E$13) + CHOOSE(CONTROL!$C$28, 0, 0)</f>
        <v>76.133099999999999</v>
      </c>
      <c r="E661" s="4">
        <f>453.662460274046 * CHOOSE(CONTROL!$C$9, $C$13, 100%, $E$13) + CHOOSE(CONTROL!$C$28, 0, 0)</f>
        <v>453.662460274046</v>
      </c>
    </row>
    <row r="662" spans="1:5" ht="15">
      <c r="A662" s="13">
        <v>61667</v>
      </c>
      <c r="B662" s="4">
        <f>75.4088 * CHOOSE(CONTROL!$C$9, $C$13, 100%, $E$13) + CHOOSE(CONTROL!$C$28, 0.0003, 0)</f>
        <v>75.409099999999995</v>
      </c>
      <c r="C662" s="4">
        <f>75.0456 * CHOOSE(CONTROL!$C$9, $C$13, 100%, $E$13) + CHOOSE(CONTROL!$C$28, 0.0003, 0)</f>
        <v>75.045899999999989</v>
      </c>
      <c r="D662" s="4">
        <f>75.1096 * CHOOSE(CONTROL!$C$9, $C$13, 100%, $E$13) + CHOOSE(CONTROL!$C$28, 0, 0)</f>
        <v>75.1096</v>
      </c>
      <c r="E662" s="4">
        <f>438.58931704164 * CHOOSE(CONTROL!$C$9, $C$13, 100%, $E$13) + CHOOSE(CONTROL!$C$28, 0, 0)</f>
        <v>438.58931704164002</v>
      </c>
    </row>
    <row r="663" spans="1:5" ht="15">
      <c r="A663" s="13">
        <v>61697</v>
      </c>
      <c r="B663" s="4">
        <f>73.7568 * CHOOSE(CONTROL!$C$9, $C$13, 100%, $E$13) + CHOOSE(CONTROL!$C$28, 0.0003, 0)</f>
        <v>73.757099999999994</v>
      </c>
      <c r="C663" s="4">
        <f>73.3935 * CHOOSE(CONTROL!$C$9, $C$13, 100%, $E$13) + CHOOSE(CONTROL!$C$28, 0.0003, 0)</f>
        <v>73.393799999999999</v>
      </c>
      <c r="D663" s="4">
        <f>74.7577 * CHOOSE(CONTROL!$C$9, $C$13, 100%, $E$13) + CHOOSE(CONTROL!$C$28, 0, 0)</f>
        <v>74.7577</v>
      </c>
      <c r="E663" s="4">
        <f>428.881087208105 * CHOOSE(CONTROL!$C$9, $C$13, 100%, $E$13) + CHOOSE(CONTROL!$C$28, 0, 0)</f>
        <v>428.88108720810499</v>
      </c>
    </row>
    <row r="664" spans="1:5" ht="15">
      <c r="A664" s="13">
        <v>61728</v>
      </c>
      <c r="B664" s="4">
        <f>72.6138 * CHOOSE(CONTROL!$C$9, $C$13, 100%, $E$13) + CHOOSE(CONTROL!$C$28, 0.0003, 0)</f>
        <v>72.614099999999993</v>
      </c>
      <c r="C664" s="4">
        <f>72.2505 * CHOOSE(CONTROL!$C$9, $C$13, 100%, $E$13) + CHOOSE(CONTROL!$C$28, 0.0003, 0)</f>
        <v>72.250799999999998</v>
      </c>
      <c r="D664" s="4">
        <f>72.1671 * CHOOSE(CONTROL!$C$9, $C$13, 100%, $E$13) + CHOOSE(CONTROL!$C$28, 0, 0)</f>
        <v>72.167100000000005</v>
      </c>
      <c r="E664" s="4">
        <f>422.164240102106 * CHOOSE(CONTROL!$C$9, $C$13, 100%, $E$13) + CHOOSE(CONTROL!$C$28, 0, 0)</f>
        <v>422.16424010210602</v>
      </c>
    </row>
    <row r="665" spans="1:5" ht="15">
      <c r="A665" s="13">
        <v>61759</v>
      </c>
      <c r="B665" s="4">
        <f>70.7566 * CHOOSE(CONTROL!$C$9, $C$13, 100%, $E$13) + CHOOSE(CONTROL!$C$28, 0.0003, 0)</f>
        <v>70.756900000000002</v>
      </c>
      <c r="C665" s="4">
        <f>70.3933 * CHOOSE(CONTROL!$C$9, $C$13, 100%, $E$13) + CHOOSE(CONTROL!$C$28, 0.0003, 0)</f>
        <v>70.393599999999992</v>
      </c>
      <c r="D665" s="4">
        <f>69.7861 * CHOOSE(CONTROL!$C$9, $C$13, 100%, $E$13) + CHOOSE(CONTROL!$C$28, 0, 0)</f>
        <v>69.786100000000005</v>
      </c>
      <c r="E665" s="4">
        <f>410.058178435916 * CHOOSE(CONTROL!$C$9, $C$13, 100%, $E$13) + CHOOSE(CONTROL!$C$28, 0, 0)</f>
        <v>410.05817843591598</v>
      </c>
    </row>
    <row r="666" spans="1:5" ht="15">
      <c r="A666" s="13">
        <v>61787</v>
      </c>
      <c r="B666" s="4">
        <f>72.4183 * CHOOSE(CONTROL!$C$9, $C$13, 100%, $E$13) + CHOOSE(CONTROL!$C$28, 0.0003, 0)</f>
        <v>72.418599999999998</v>
      </c>
      <c r="C666" s="4">
        <f>72.055 * CHOOSE(CONTROL!$C$9, $C$13, 100%, $E$13) + CHOOSE(CONTROL!$C$28, 0.0003, 0)</f>
        <v>72.055300000000003</v>
      </c>
      <c r="D666" s="4">
        <f>72.1838 * CHOOSE(CONTROL!$C$9, $C$13, 100%, $E$13) + CHOOSE(CONTROL!$C$28, 0, 0)</f>
        <v>72.183800000000005</v>
      </c>
      <c r="E666" s="4">
        <f>419.794575594131 * CHOOSE(CONTROL!$C$9, $C$13, 100%, $E$13) + CHOOSE(CONTROL!$C$28, 0, 0)</f>
        <v>419.794575594131</v>
      </c>
    </row>
    <row r="667" spans="1:5" ht="15">
      <c r="A667" s="13">
        <v>61818</v>
      </c>
      <c r="B667" s="4">
        <f>76.7819 * CHOOSE(CONTROL!$C$9, $C$13, 100%, $E$13) + CHOOSE(CONTROL!$C$28, 0.0003, 0)</f>
        <v>76.782199999999989</v>
      </c>
      <c r="C667" s="4">
        <f>76.4187 * CHOOSE(CONTROL!$C$9, $C$13, 100%, $E$13) + CHOOSE(CONTROL!$C$28, 0.0003, 0)</f>
        <v>76.418999999999997</v>
      </c>
      <c r="D667" s="4">
        <f>75.9372 * CHOOSE(CONTROL!$C$9, $C$13, 100%, $E$13) + CHOOSE(CONTROL!$C$28, 0, 0)</f>
        <v>75.937200000000004</v>
      </c>
      <c r="E667" s="4">
        <f>445.362871955173 * CHOOSE(CONTROL!$C$9, $C$13, 100%, $E$13) + CHOOSE(CONTROL!$C$28, 0, 0)</f>
        <v>445.36287195517298</v>
      </c>
    </row>
    <row r="668" spans="1:5" ht="15">
      <c r="A668" s="13">
        <v>61848</v>
      </c>
      <c r="B668" s="4">
        <f>79.8824 * CHOOSE(CONTROL!$C$9, $C$13, 100%, $E$13) + CHOOSE(CONTROL!$C$28, 0.0003, 0)</f>
        <v>79.8827</v>
      </c>
      <c r="C668" s="4">
        <f>79.5191 * CHOOSE(CONTROL!$C$9, $C$13, 100%, $E$13) + CHOOSE(CONTROL!$C$28, 0.0003, 0)</f>
        <v>79.51939999999999</v>
      </c>
      <c r="D668" s="4">
        <f>78.0992 * CHOOSE(CONTROL!$C$9, $C$13, 100%, $E$13) + CHOOSE(CONTROL!$C$28, 0, 0)</f>
        <v>78.099199999999996</v>
      </c>
      <c r="E668" s="4">
        <f>463.529487262044 * CHOOSE(CONTROL!$C$9, $C$13, 100%, $E$13) + CHOOSE(CONTROL!$C$28, 0, 0)</f>
        <v>463.52948726204397</v>
      </c>
    </row>
    <row r="669" spans="1:5" ht="15">
      <c r="A669" s="13">
        <v>61879</v>
      </c>
      <c r="B669" s="4">
        <f>81.7767 * CHOOSE(CONTROL!$C$9, $C$13, 100%, $E$13) + CHOOSE(CONTROL!$C$28, 0.0311, 0)</f>
        <v>81.8078</v>
      </c>
      <c r="C669" s="4">
        <f>81.4134 * CHOOSE(CONTROL!$C$9, $C$13, 100%, $E$13) + CHOOSE(CONTROL!$C$28, 0.0311, 0)</f>
        <v>81.444499999999991</v>
      </c>
      <c r="D669" s="4">
        <f>77.2449 * CHOOSE(CONTROL!$C$9, $C$13, 100%, $E$13) + CHOOSE(CONTROL!$C$28, 0, 0)</f>
        <v>77.244900000000001</v>
      </c>
      <c r="E669" s="4">
        <f>474.628853821539 * CHOOSE(CONTROL!$C$9, $C$13, 100%, $E$13) + CHOOSE(CONTROL!$C$28, 0, 0)</f>
        <v>474.628853821539</v>
      </c>
    </row>
    <row r="670" spans="1:5" ht="15">
      <c r="A670" s="13">
        <v>61909</v>
      </c>
      <c r="B670" s="4">
        <f>82.033 * CHOOSE(CONTROL!$C$9, $C$13, 100%, $E$13) + CHOOSE(CONTROL!$C$28, 0.0311, 0)</f>
        <v>82.064099999999996</v>
      </c>
      <c r="C670" s="4">
        <f>81.6697 * CHOOSE(CONTROL!$C$9, $C$13, 100%, $E$13) + CHOOSE(CONTROL!$C$28, 0.0311, 0)</f>
        <v>81.700800000000001</v>
      </c>
      <c r="D670" s="4">
        <f>77.9407 * CHOOSE(CONTROL!$C$9, $C$13, 100%, $E$13) + CHOOSE(CONTROL!$C$28, 0, 0)</f>
        <v>77.940700000000007</v>
      </c>
      <c r="E670" s="4">
        <f>476.130644180356 * CHOOSE(CONTROL!$C$9, $C$13, 100%, $E$13) + CHOOSE(CONTROL!$C$28, 0, 0)</f>
        <v>476.130644180356</v>
      </c>
    </row>
    <row r="671" spans="1:5" ht="15">
      <c r="A671" s="13">
        <v>61940</v>
      </c>
      <c r="B671" s="4">
        <f>82.0071 * CHOOSE(CONTROL!$C$9, $C$13, 100%, $E$13) + CHOOSE(CONTROL!$C$28, 0.0311, 0)</f>
        <v>82.038199999999989</v>
      </c>
      <c r="C671" s="4">
        <f>81.6438 * CHOOSE(CONTROL!$C$9, $C$13, 100%, $E$13) + CHOOSE(CONTROL!$C$28, 0.0311, 0)</f>
        <v>81.674899999999994</v>
      </c>
      <c r="D671" s="4">
        <f>79.1961 * CHOOSE(CONTROL!$C$9, $C$13, 100%, $E$13) + CHOOSE(CONTROL!$C$28, 0, 0)</f>
        <v>79.196100000000001</v>
      </c>
      <c r="E671" s="4">
        <f>475.97920313577 * CHOOSE(CONTROL!$C$9, $C$13, 100%, $E$13) + CHOOSE(CONTROL!$C$28, 0, 0)</f>
        <v>475.97920313576998</v>
      </c>
    </row>
    <row r="672" spans="1:5" ht="15">
      <c r="A672" s="13">
        <v>61971</v>
      </c>
      <c r="B672" s="4">
        <f>83.952 * CHOOSE(CONTROL!$C$9, $C$13, 100%, $E$13) + CHOOSE(CONTROL!$C$28, 0.0311, 0)</f>
        <v>83.983099999999993</v>
      </c>
      <c r="C672" s="4">
        <f>83.5887 * CHOOSE(CONTROL!$C$9, $C$13, 100%, $E$13) + CHOOSE(CONTROL!$C$28, 0.0311, 0)</f>
        <v>83.619799999999998</v>
      </c>
      <c r="D672" s="4">
        <f>78.367 * CHOOSE(CONTROL!$C$9, $C$13, 100%, $E$13) + CHOOSE(CONTROL!$C$28, 0, 0)</f>
        <v>78.367000000000004</v>
      </c>
      <c r="E672" s="4">
        <f>487.375141740913 * CHOOSE(CONTROL!$C$9, $C$13, 100%, $E$13) + CHOOSE(CONTROL!$C$28, 0, 0)</f>
        <v>487.37514174091302</v>
      </c>
    </row>
    <row r="673" spans="1:5" ht="15">
      <c r="A673" s="13">
        <v>62001</v>
      </c>
      <c r="B673" s="4">
        <f>80.6373 * CHOOSE(CONTROL!$C$9, $C$13, 100%, $E$13) + CHOOSE(CONTROL!$C$28, 0.0311, 0)</f>
        <v>80.668399999999991</v>
      </c>
      <c r="C673" s="4">
        <f>80.274 * CHOOSE(CONTROL!$C$9, $C$13, 100%, $E$13) + CHOOSE(CONTROL!$C$28, 0.0311, 0)</f>
        <v>80.305099999999996</v>
      </c>
      <c r="D673" s="4">
        <f>77.9753 * CHOOSE(CONTROL!$C$9, $C$13, 100%, $E$13) + CHOOSE(CONTROL!$C$28, 0, 0)</f>
        <v>77.975300000000004</v>
      </c>
      <c r="E673" s="4">
        <f>467.952827772679 * CHOOSE(CONTROL!$C$9, $C$13, 100%, $E$13) + CHOOSE(CONTROL!$C$28, 0, 0)</f>
        <v>467.95282777267897</v>
      </c>
    </row>
    <row r="674" spans="1:5" ht="15">
      <c r="A674" s="13">
        <v>62032</v>
      </c>
      <c r="B674" s="4">
        <f>77.9838 * CHOOSE(CONTROL!$C$9, $C$13, 100%, $E$13) + CHOOSE(CONTROL!$C$28, 0.0003, 0)</f>
        <v>77.984099999999998</v>
      </c>
      <c r="C674" s="4">
        <f>77.6205 * CHOOSE(CONTROL!$C$9, $C$13, 100%, $E$13) + CHOOSE(CONTROL!$C$28, 0.0003, 0)</f>
        <v>77.620800000000003</v>
      </c>
      <c r="D674" s="4">
        <f>76.9264 * CHOOSE(CONTROL!$C$9, $C$13, 100%, $E$13) + CHOOSE(CONTROL!$C$28, 0, 0)</f>
        <v>76.926400000000001</v>
      </c>
      <c r="E674" s="4">
        <f>452.404880528451 * CHOOSE(CONTROL!$C$9, $C$13, 100%, $E$13) + CHOOSE(CONTROL!$C$28, 0, 0)</f>
        <v>452.40488052845097</v>
      </c>
    </row>
    <row r="675" spans="1:5" ht="15">
      <c r="A675" s="13">
        <v>62062</v>
      </c>
      <c r="B675" s="4">
        <f>76.2747 * CHOOSE(CONTROL!$C$9, $C$13, 100%, $E$13) + CHOOSE(CONTROL!$C$28, 0.0003, 0)</f>
        <v>76.274999999999991</v>
      </c>
      <c r="C675" s="4">
        <f>75.9114 * CHOOSE(CONTROL!$C$9, $C$13, 100%, $E$13) + CHOOSE(CONTROL!$C$28, 0.0003, 0)</f>
        <v>75.911699999999996</v>
      </c>
      <c r="D675" s="4">
        <f>76.5658 * CHOOSE(CONTROL!$C$9, $C$13, 100%, $E$13) + CHOOSE(CONTROL!$C$28, 0, 0)</f>
        <v>76.565799999999996</v>
      </c>
      <c r="E675" s="4">
        <f>442.390841455161 * CHOOSE(CONTROL!$C$9, $C$13, 100%, $E$13) + CHOOSE(CONTROL!$C$28, 0, 0)</f>
        <v>442.39084145516102</v>
      </c>
    </row>
    <row r="676" spans="1:5" ht="15">
      <c r="A676" s="13">
        <v>62093</v>
      </c>
      <c r="B676" s="4">
        <f>75.0923 * CHOOSE(CONTROL!$C$9, $C$13, 100%, $E$13) + CHOOSE(CONTROL!$C$28, 0.0003, 0)</f>
        <v>75.09259999999999</v>
      </c>
      <c r="C676" s="4">
        <f>74.729 * CHOOSE(CONTROL!$C$9, $C$13, 100%, $E$13) + CHOOSE(CONTROL!$C$28, 0.0003, 0)</f>
        <v>74.729299999999995</v>
      </c>
      <c r="D676" s="4">
        <f>73.9109 * CHOOSE(CONTROL!$C$9, $C$13, 100%, $E$13) + CHOOSE(CONTROL!$C$28, 0, 0)</f>
        <v>73.910899999999998</v>
      </c>
      <c r="E676" s="4">
        <f>435.462413665323 * CHOOSE(CONTROL!$C$9, $C$13, 100%, $E$13) + CHOOSE(CONTROL!$C$28, 0, 0)</f>
        <v>435.46241366532303</v>
      </c>
    </row>
    <row r="677" spans="1:5" ht="15">
      <c r="A677" s="13">
        <v>62124</v>
      </c>
      <c r="B677" s="4">
        <f>73.171 * CHOOSE(CONTROL!$C$9, $C$13, 100%, $E$13) + CHOOSE(CONTROL!$C$28, 0.0003, 0)</f>
        <v>73.171300000000002</v>
      </c>
      <c r="C677" s="4">
        <f>72.8077 * CHOOSE(CONTROL!$C$9, $C$13, 100%, $E$13) + CHOOSE(CONTROL!$C$28, 0.0003, 0)</f>
        <v>72.807999999999993</v>
      </c>
      <c r="D677" s="4">
        <f>71.4709 * CHOOSE(CONTROL!$C$9, $C$13, 100%, $E$13) + CHOOSE(CONTROL!$C$28, 0, 0)</f>
        <v>71.4709</v>
      </c>
      <c r="E677" s="4">
        <f>422.975011056647 * CHOOSE(CONTROL!$C$9, $C$13, 100%, $E$13) + CHOOSE(CONTROL!$C$28, 0, 0)</f>
        <v>422.97501105664702</v>
      </c>
    </row>
    <row r="678" spans="1:5" ht="15">
      <c r="A678" s="13">
        <v>62152</v>
      </c>
      <c r="B678" s="4">
        <f>74.89 * CHOOSE(CONTROL!$C$9, $C$13, 100%, $E$13) + CHOOSE(CONTROL!$C$28, 0.0003, 0)</f>
        <v>74.890299999999996</v>
      </c>
      <c r="C678" s="4">
        <f>74.5267 * CHOOSE(CONTROL!$C$9, $C$13, 100%, $E$13) + CHOOSE(CONTROL!$C$28, 0.0003, 0)</f>
        <v>74.527000000000001</v>
      </c>
      <c r="D678" s="4">
        <f>73.928 * CHOOSE(CONTROL!$C$9, $C$13, 100%, $E$13) + CHOOSE(CONTROL!$C$28, 0, 0)</f>
        <v>73.927999999999997</v>
      </c>
      <c r="E678" s="4">
        <f>433.018104725346 * CHOOSE(CONTROL!$C$9, $C$13, 100%, $E$13) + CHOOSE(CONTROL!$C$28, 0, 0)</f>
        <v>433.01810472534601</v>
      </c>
    </row>
    <row r="679" spans="1:5" ht="15">
      <c r="A679" s="13">
        <v>62183</v>
      </c>
      <c r="B679" s="4">
        <f>79.4042 * CHOOSE(CONTROL!$C$9, $C$13, 100%, $E$13) + CHOOSE(CONTROL!$C$28, 0.0003, 0)</f>
        <v>79.404499999999999</v>
      </c>
      <c r="C679" s="4">
        <f>79.0409 * CHOOSE(CONTROL!$C$9, $C$13, 100%, $E$13) + CHOOSE(CONTROL!$C$28, 0.0003, 0)</f>
        <v>79.041199999999989</v>
      </c>
      <c r="D679" s="4">
        <f>77.7745 * CHOOSE(CONTROL!$C$9, $C$13, 100%, $E$13) + CHOOSE(CONTROL!$C$28, 0, 0)</f>
        <v>77.774500000000003</v>
      </c>
      <c r="E679" s="4">
        <f>459.391802421761 * CHOOSE(CONTROL!$C$9, $C$13, 100%, $E$13) + CHOOSE(CONTROL!$C$28, 0, 0)</f>
        <v>459.39180242176099</v>
      </c>
    </row>
    <row r="680" spans="1:5" ht="15">
      <c r="A680" s="13">
        <v>62213</v>
      </c>
      <c r="B680" s="4">
        <f>82.6116 * CHOOSE(CONTROL!$C$9, $C$13, 100%, $E$13) + CHOOSE(CONTROL!$C$28, 0.0003, 0)</f>
        <v>82.611899999999991</v>
      </c>
      <c r="C680" s="4">
        <f>82.2483 * CHOOSE(CONTROL!$C$9, $C$13, 100%, $E$13) + CHOOSE(CONTROL!$C$28, 0.0003, 0)</f>
        <v>82.248599999999996</v>
      </c>
      <c r="D680" s="4">
        <f>79.9901 * CHOOSE(CONTROL!$C$9, $C$13, 100%, $E$13) + CHOOSE(CONTROL!$C$28, 0, 0)</f>
        <v>79.990099999999998</v>
      </c>
      <c r="E680" s="4">
        <f>478.130666110799 * CHOOSE(CONTROL!$C$9, $C$13, 100%, $E$13) + CHOOSE(CONTROL!$C$28, 0, 0)</f>
        <v>478.13066611079898</v>
      </c>
    </row>
    <row r="681" spans="1:5" ht="15">
      <c r="A681" s="13">
        <v>62244</v>
      </c>
      <c r="B681" s="4">
        <f>84.5713 * CHOOSE(CONTROL!$C$9, $C$13, 100%, $E$13) + CHOOSE(CONTROL!$C$28, 0.0311, 0)</f>
        <v>84.602399999999989</v>
      </c>
      <c r="C681" s="4">
        <f>84.208 * CHOOSE(CONTROL!$C$9, $C$13, 100%, $E$13) + CHOOSE(CONTROL!$C$28, 0.0311, 0)</f>
        <v>84.239099999999993</v>
      </c>
      <c r="D681" s="4">
        <f>79.1146 * CHOOSE(CONTROL!$C$9, $C$13, 100%, $E$13) + CHOOSE(CONTROL!$C$28, 0, 0)</f>
        <v>79.114599999999996</v>
      </c>
      <c r="E681" s="4">
        <f>489.579662716918 * CHOOSE(CONTROL!$C$9, $C$13, 100%, $E$13) + CHOOSE(CONTROL!$C$28, 0, 0)</f>
        <v>489.57966271691799</v>
      </c>
    </row>
    <row r="682" spans="1:5" ht="15">
      <c r="A682" s="13">
        <v>62274</v>
      </c>
      <c r="B682" s="4">
        <f>84.8364 * CHOOSE(CONTROL!$C$9, $C$13, 100%, $E$13) + CHOOSE(CONTROL!$C$28, 0.0311, 0)</f>
        <v>84.867499999999993</v>
      </c>
      <c r="C682" s="4">
        <f>84.4731 * CHOOSE(CONTROL!$C$9, $C$13, 100%, $E$13) + CHOOSE(CONTROL!$C$28, 0.0311, 0)</f>
        <v>84.504199999999997</v>
      </c>
      <c r="D682" s="4">
        <f>79.8277 * CHOOSE(CONTROL!$C$9, $C$13, 100%, $E$13) + CHOOSE(CONTROL!$C$28, 0, 0)</f>
        <v>79.827699999999993</v>
      </c>
      <c r="E682" s="4">
        <f>491.128759472038 * CHOOSE(CONTROL!$C$9, $C$13, 100%, $E$13) + CHOOSE(CONTROL!$C$28, 0, 0)</f>
        <v>491.12875947203798</v>
      </c>
    </row>
    <row r="683" spans="1:5" ht="15">
      <c r="A683" s="13">
        <v>62305</v>
      </c>
      <c r="B683" s="4">
        <f>84.8097 * CHOOSE(CONTROL!$C$9, $C$13, 100%, $E$13) + CHOOSE(CONTROL!$C$28, 0.0311, 0)</f>
        <v>84.840800000000002</v>
      </c>
      <c r="C683" s="4">
        <f>84.4464 * CHOOSE(CONTROL!$C$9, $C$13, 100%, $E$13) + CHOOSE(CONTROL!$C$28, 0.0311, 0)</f>
        <v>84.477499999999992</v>
      </c>
      <c r="D683" s="4">
        <f>81.1143 * CHOOSE(CONTROL!$C$9, $C$13, 100%, $E$13) + CHOOSE(CONTROL!$C$28, 0, 0)</f>
        <v>81.1143</v>
      </c>
      <c r="E683" s="4">
        <f>490.972548034547 * CHOOSE(CONTROL!$C$9, $C$13, 100%, $E$13) + CHOOSE(CONTROL!$C$28, 0, 0)</f>
        <v>490.972548034547</v>
      </c>
    </row>
    <row r="684" spans="1:5" ht="15">
      <c r="A684" s="13">
        <v>62336</v>
      </c>
      <c r="B684" s="4">
        <f>86.8217 * CHOOSE(CONTROL!$C$9, $C$13, 100%, $E$13) + CHOOSE(CONTROL!$C$28, 0.0311, 0)</f>
        <v>86.852800000000002</v>
      </c>
      <c r="C684" s="4">
        <f>86.4584 * CHOOSE(CONTROL!$C$9, $C$13, 100%, $E$13) + CHOOSE(CONTROL!$C$28, 0.0311, 0)</f>
        <v>86.489499999999992</v>
      </c>
      <c r="D684" s="4">
        <f>80.2646 * CHOOSE(CONTROL!$C$9, $C$13, 100%, $E$13) + CHOOSE(CONTROL!$C$28, 0, 0)</f>
        <v>80.264600000000002</v>
      </c>
      <c r="E684" s="4">
        <f>502.727458705752 * CHOOSE(CONTROL!$C$9, $C$13, 100%, $E$13) + CHOOSE(CONTROL!$C$28, 0, 0)</f>
        <v>502.72745870575199</v>
      </c>
    </row>
    <row r="685" spans="1:5" ht="15">
      <c r="A685" s="13">
        <v>62366</v>
      </c>
      <c r="B685" s="4">
        <f>83.3926 * CHOOSE(CONTROL!$C$9, $C$13, 100%, $E$13) + CHOOSE(CONTROL!$C$28, 0.0311, 0)</f>
        <v>83.423699999999997</v>
      </c>
      <c r="C685" s="4">
        <f>83.0293 * CHOOSE(CONTROL!$C$9, $C$13, 100%, $E$13) + CHOOSE(CONTROL!$C$28, 0.0311, 0)</f>
        <v>83.060400000000001</v>
      </c>
      <c r="D685" s="4">
        <f>79.8631 * CHOOSE(CONTROL!$C$9, $C$13, 100%, $E$13) + CHOOSE(CONTROL!$C$28, 0, 0)</f>
        <v>79.863100000000003</v>
      </c>
      <c r="E685" s="4">
        <f>482.693341847518 * CHOOSE(CONTROL!$C$9, $C$13, 100%, $E$13) + CHOOSE(CONTROL!$C$28, 0, 0)</f>
        <v>482.69334184751801</v>
      </c>
    </row>
    <row r="686" spans="1:5" ht="15">
      <c r="A686" s="13">
        <v>62397</v>
      </c>
      <c r="B686" s="4">
        <f>80.6475 * CHOOSE(CONTROL!$C$9, $C$13, 100%, $E$13) + CHOOSE(CONTROL!$C$28, 0.0003, 0)</f>
        <v>80.647799999999989</v>
      </c>
      <c r="C686" s="4">
        <f>80.2842 * CHOOSE(CONTROL!$C$9, $C$13, 100%, $E$13) + CHOOSE(CONTROL!$C$28, 0.0003, 0)</f>
        <v>80.284499999999994</v>
      </c>
      <c r="D686" s="4">
        <f>78.7882 * CHOOSE(CONTROL!$C$9, $C$13, 100%, $E$13) + CHOOSE(CONTROL!$C$28, 0, 0)</f>
        <v>78.788200000000003</v>
      </c>
      <c r="E686" s="4">
        <f>466.655634265098 * CHOOSE(CONTROL!$C$9, $C$13, 100%, $E$13) + CHOOSE(CONTROL!$C$28, 0, 0)</f>
        <v>466.655634265098</v>
      </c>
    </row>
    <row r="687" spans="1:5" ht="15">
      <c r="A687" s="13">
        <v>62427</v>
      </c>
      <c r="B687" s="4">
        <f>78.8795 * CHOOSE(CONTROL!$C$9, $C$13, 100%, $E$13) + CHOOSE(CONTROL!$C$28, 0.0003, 0)</f>
        <v>78.879799999999989</v>
      </c>
      <c r="C687" s="4">
        <f>78.5162 * CHOOSE(CONTROL!$C$9, $C$13, 100%, $E$13) + CHOOSE(CONTROL!$C$28, 0.0003, 0)</f>
        <v>78.516499999999994</v>
      </c>
      <c r="D687" s="4">
        <f>78.4187 * CHOOSE(CONTROL!$C$9, $C$13, 100%, $E$13) + CHOOSE(CONTROL!$C$28, 0, 0)</f>
        <v>78.418700000000001</v>
      </c>
      <c r="E687" s="4">
        <f>456.326152960998 * CHOOSE(CONTROL!$C$9, $C$13, 100%, $E$13) + CHOOSE(CONTROL!$C$28, 0, 0)</f>
        <v>456.326152960998</v>
      </c>
    </row>
    <row r="688" spans="1:5" ht="15">
      <c r="A688" s="13">
        <v>62458</v>
      </c>
      <c r="B688" s="4">
        <f>77.6563 * CHOOSE(CONTROL!$C$9, $C$13, 100%, $E$13) + CHOOSE(CONTROL!$C$28, 0.0003, 0)</f>
        <v>77.656599999999997</v>
      </c>
      <c r="C688" s="4">
        <f>77.293 * CHOOSE(CONTROL!$C$9, $C$13, 100%, $E$13) + CHOOSE(CONTROL!$C$28, 0.0003, 0)</f>
        <v>77.293300000000002</v>
      </c>
      <c r="D688" s="4">
        <f>75.698 * CHOOSE(CONTROL!$C$9, $C$13, 100%, $E$13) + CHOOSE(CONTROL!$C$28, 0, 0)</f>
        <v>75.697999999999993</v>
      </c>
      <c r="E688" s="4">
        <f>449.17947969578 * CHOOSE(CONTROL!$C$9, $C$13, 100%, $E$13) + CHOOSE(CONTROL!$C$28, 0, 0)</f>
        <v>449.17947969578</v>
      </c>
    </row>
    <row r="689" spans="1:5" ht="15">
      <c r="A689" s="13">
        <v>62489</v>
      </c>
      <c r="B689" s="4">
        <f>75.6687 * CHOOSE(CONTROL!$C$9, $C$13, 100%, $E$13) + CHOOSE(CONTROL!$C$28, 0.0003, 0)</f>
        <v>75.668999999999997</v>
      </c>
      <c r="C689" s="4">
        <f>75.3055 * CHOOSE(CONTROL!$C$9, $C$13, 100%, $E$13) + CHOOSE(CONTROL!$C$28, 0.0003, 0)</f>
        <v>75.305799999999991</v>
      </c>
      <c r="D689" s="4">
        <f>73.1974 * CHOOSE(CONTROL!$C$9, $C$13, 100%, $E$13) + CHOOSE(CONTROL!$C$28, 0, 0)</f>
        <v>73.197400000000002</v>
      </c>
      <c r="E689" s="4">
        <f>436.298723904932 * CHOOSE(CONTROL!$C$9, $C$13, 100%, $E$13) + CHOOSE(CONTROL!$C$28, 0, 0)</f>
        <v>436.29872390493199</v>
      </c>
    </row>
    <row r="690" spans="1:5" ht="15">
      <c r="A690" s="13">
        <v>62517</v>
      </c>
      <c r="B690" s="4">
        <f>77.4471 * CHOOSE(CONTROL!$C$9, $C$13, 100%, $E$13) + CHOOSE(CONTROL!$C$28, 0.0003, 0)</f>
        <v>77.447400000000002</v>
      </c>
      <c r="C690" s="4">
        <f>77.0838 * CHOOSE(CONTROL!$C$9, $C$13, 100%, $E$13) + CHOOSE(CONTROL!$C$28, 0.0003, 0)</f>
        <v>77.084099999999992</v>
      </c>
      <c r="D690" s="4">
        <f>75.7155 * CHOOSE(CONTROL!$C$9, $C$13, 100%, $E$13) + CHOOSE(CONTROL!$C$28, 0, 0)</f>
        <v>75.715500000000006</v>
      </c>
      <c r="E690" s="4">
        <f>446.658175024195 * CHOOSE(CONTROL!$C$9, $C$13, 100%, $E$13) + CHOOSE(CONTROL!$C$28, 0, 0)</f>
        <v>446.65817502419497</v>
      </c>
    </row>
    <row r="691" spans="1:5" ht="15">
      <c r="A691" s="13">
        <v>62548</v>
      </c>
      <c r="B691" s="4">
        <f>82.117 * CHOOSE(CONTROL!$C$9, $C$13, 100%, $E$13) + CHOOSE(CONTROL!$C$28, 0.0003, 0)</f>
        <v>82.1173</v>
      </c>
      <c r="C691" s="4">
        <f>81.7537 * CHOOSE(CONTROL!$C$9, $C$13, 100%, $E$13) + CHOOSE(CONTROL!$C$28, 0.0003, 0)</f>
        <v>81.753999999999991</v>
      </c>
      <c r="D691" s="4">
        <f>79.6574 * CHOOSE(CONTROL!$C$9, $C$13, 100%, $E$13) + CHOOSE(CONTROL!$C$28, 0, 0)</f>
        <v>79.657399999999996</v>
      </c>
      <c r="E691" s="4">
        <f>473.862644198047 * CHOOSE(CONTROL!$C$9, $C$13, 100%, $E$13) + CHOOSE(CONTROL!$C$28, 0, 0)</f>
        <v>473.86264419804701</v>
      </c>
    </row>
    <row r="692" spans="1:5" ht="15">
      <c r="A692" s="13">
        <v>62578</v>
      </c>
      <c r="B692" s="4">
        <f>85.435 * CHOOSE(CONTROL!$C$9, $C$13, 100%, $E$13) + CHOOSE(CONTROL!$C$28, 0.0003, 0)</f>
        <v>85.435299999999998</v>
      </c>
      <c r="C692" s="4">
        <f>85.0718 * CHOOSE(CONTROL!$C$9, $C$13, 100%, $E$13) + CHOOSE(CONTROL!$C$28, 0.0003, 0)</f>
        <v>85.072099999999992</v>
      </c>
      <c r="D692" s="4">
        <f>81.928 * CHOOSE(CONTROL!$C$9, $C$13, 100%, $E$13) + CHOOSE(CONTROL!$C$28, 0, 0)</f>
        <v>81.927999999999997</v>
      </c>
      <c r="E692" s="4">
        <f>493.191782093289 * CHOOSE(CONTROL!$C$9, $C$13, 100%, $E$13) + CHOOSE(CONTROL!$C$28, 0, 0)</f>
        <v>493.19178209328902</v>
      </c>
    </row>
    <row r="693" spans="1:5" ht="15">
      <c r="A693" s="13">
        <v>62609</v>
      </c>
      <c r="B693" s="4">
        <f>87.4623 * CHOOSE(CONTROL!$C$9, $C$13, 100%, $E$13) + CHOOSE(CONTROL!$C$28, 0.0311, 0)</f>
        <v>87.493399999999994</v>
      </c>
      <c r="C693" s="4">
        <f>87.099 * CHOOSE(CONTROL!$C$9, $C$13, 100%, $E$13) + CHOOSE(CONTROL!$C$28, 0.0311, 0)</f>
        <v>87.130099999999999</v>
      </c>
      <c r="D693" s="4">
        <f>81.0307 * CHOOSE(CONTROL!$C$9, $C$13, 100%, $E$13) + CHOOSE(CONTROL!$C$28, 0, 0)</f>
        <v>81.030699999999996</v>
      </c>
      <c r="E693" s="4">
        <f>505.001422092501 * CHOOSE(CONTROL!$C$9, $C$13, 100%, $E$13) + CHOOSE(CONTROL!$C$28, 0, 0)</f>
        <v>505.001422092501</v>
      </c>
    </row>
    <row r="694" spans="1:5" ht="15">
      <c r="A694" s="13">
        <v>62639</v>
      </c>
      <c r="B694" s="4">
        <f>87.7366 * CHOOSE(CONTROL!$C$9, $C$13, 100%, $E$13) + CHOOSE(CONTROL!$C$28, 0.0311, 0)</f>
        <v>87.767699999999991</v>
      </c>
      <c r="C694" s="4">
        <f>87.3733 * CHOOSE(CONTROL!$C$9, $C$13, 100%, $E$13) + CHOOSE(CONTROL!$C$28, 0.0311, 0)</f>
        <v>87.404399999999995</v>
      </c>
      <c r="D694" s="4">
        <f>81.7615 * CHOOSE(CONTROL!$C$9, $C$13, 100%, $E$13) + CHOOSE(CONTROL!$C$28, 0, 0)</f>
        <v>81.761499999999998</v>
      </c>
      <c r="E694" s="4">
        <f>506.599315395407 * CHOOSE(CONTROL!$C$9, $C$13, 100%, $E$13) + CHOOSE(CONTROL!$C$28, 0, 0)</f>
        <v>506.59931539540702</v>
      </c>
    </row>
    <row r="695" spans="1:5" ht="15">
      <c r="A695" s="13">
        <v>62670</v>
      </c>
      <c r="B695" s="4">
        <f>87.7089 * CHOOSE(CONTROL!$C$9, $C$13, 100%, $E$13) + CHOOSE(CONTROL!$C$28, 0.0311, 0)</f>
        <v>87.74</v>
      </c>
      <c r="C695" s="4">
        <f>87.3456 * CHOOSE(CONTROL!$C$9, $C$13, 100%, $E$13) + CHOOSE(CONTROL!$C$28, 0.0311, 0)</f>
        <v>87.3767</v>
      </c>
      <c r="D695" s="4">
        <f>83.08 * CHOOSE(CONTROL!$C$9, $C$13, 100%, $E$13) + CHOOSE(CONTROL!$C$28, 0, 0)</f>
        <v>83.08</v>
      </c>
      <c r="E695" s="4">
        <f>506.438183297635 * CHOOSE(CONTROL!$C$9, $C$13, 100%, $E$13) + CHOOSE(CONTROL!$C$28, 0, 0)</f>
        <v>506.43818329763502</v>
      </c>
    </row>
    <row r="696" spans="1:5" ht="15">
      <c r="A696" s="13">
        <v>62701</v>
      </c>
      <c r="B696" s="4">
        <f>89.7903 * CHOOSE(CONTROL!$C$9, $C$13, 100%, $E$13) + CHOOSE(CONTROL!$C$28, 0.0311, 0)</f>
        <v>89.821399999999997</v>
      </c>
      <c r="C696" s="4">
        <f>89.4271 * CHOOSE(CONTROL!$C$9, $C$13, 100%, $E$13) + CHOOSE(CONTROL!$C$28, 0.0311, 0)</f>
        <v>89.458199999999991</v>
      </c>
      <c r="D696" s="4">
        <f>82.2092 * CHOOSE(CONTROL!$C$9, $C$13, 100%, $E$13) + CHOOSE(CONTROL!$C$28, 0, 0)</f>
        <v>82.209199999999996</v>
      </c>
      <c r="E696" s="4">
        <f>518.563373654984 * CHOOSE(CONTROL!$C$9, $C$13, 100%, $E$13) + CHOOSE(CONTROL!$C$28, 0, 0)</f>
        <v>518.56337365498405</v>
      </c>
    </row>
    <row r="697" spans="1:5" ht="15">
      <c r="A697" s="13">
        <v>62731</v>
      </c>
      <c r="B697" s="4">
        <f>86.2429 * CHOOSE(CONTROL!$C$9, $C$13, 100%, $E$13) + CHOOSE(CONTROL!$C$28, 0.0311, 0)</f>
        <v>86.274000000000001</v>
      </c>
      <c r="C697" s="4">
        <f>85.8797 * CHOOSE(CONTROL!$C$9, $C$13, 100%, $E$13) + CHOOSE(CONTROL!$C$28, 0.0311, 0)</f>
        <v>85.910799999999995</v>
      </c>
      <c r="D697" s="4">
        <f>81.7978 * CHOOSE(CONTROL!$C$9, $C$13, 100%, $E$13) + CHOOSE(CONTROL!$C$28, 0, 0)</f>
        <v>81.797799999999995</v>
      </c>
      <c r="E697" s="4">
        <f>497.898182115715 * CHOOSE(CONTROL!$C$9, $C$13, 100%, $E$13) + CHOOSE(CONTROL!$C$28, 0, 0)</f>
        <v>497.89818211571497</v>
      </c>
    </row>
    <row r="698" spans="1:5" ht="15">
      <c r="A698" s="13">
        <v>62762</v>
      </c>
      <c r="B698" s="4">
        <f>83.4032 * CHOOSE(CONTROL!$C$9, $C$13, 100%, $E$13) + CHOOSE(CONTROL!$C$28, 0.0003, 0)</f>
        <v>83.403499999999994</v>
      </c>
      <c r="C698" s="4">
        <f>83.0399 * CHOOSE(CONTROL!$C$9, $C$13, 100%, $E$13) + CHOOSE(CONTROL!$C$28, 0.0003, 0)</f>
        <v>83.040199999999999</v>
      </c>
      <c r="D698" s="4">
        <f>80.6963 * CHOOSE(CONTROL!$C$9, $C$13, 100%, $E$13) + CHOOSE(CONTROL!$C$28, 0, 0)</f>
        <v>80.696299999999994</v>
      </c>
      <c r="E698" s="4">
        <f>481.355286744448 * CHOOSE(CONTROL!$C$9, $C$13, 100%, $E$13) + CHOOSE(CONTROL!$C$28, 0, 0)</f>
        <v>481.35528674444799</v>
      </c>
    </row>
    <row r="699" spans="1:5" ht="15">
      <c r="A699" s="13">
        <v>62792</v>
      </c>
      <c r="B699" s="4">
        <f>81.5742 * CHOOSE(CONTROL!$C$9, $C$13, 100%, $E$13) + CHOOSE(CONTROL!$C$28, 0.0003, 0)</f>
        <v>81.5745</v>
      </c>
      <c r="C699" s="4">
        <f>81.2109 * CHOOSE(CONTROL!$C$9, $C$13, 100%, $E$13) + CHOOSE(CONTROL!$C$28, 0.0003, 0)</f>
        <v>81.211199999999991</v>
      </c>
      <c r="D699" s="4">
        <f>80.3175 * CHOOSE(CONTROL!$C$9, $C$13, 100%, $E$13) + CHOOSE(CONTROL!$C$28, 0, 0)</f>
        <v>80.317499999999995</v>
      </c>
      <c r="E699" s="4">
        <f>470.70042677927 * CHOOSE(CONTROL!$C$9, $C$13, 100%, $E$13) + CHOOSE(CONTROL!$C$28, 0, 0)</f>
        <v>470.70042677927</v>
      </c>
    </row>
    <row r="700" spans="1:5" ht="15">
      <c r="A700" s="13">
        <v>62823</v>
      </c>
      <c r="B700" s="4">
        <f>80.3087 * CHOOSE(CONTROL!$C$9, $C$13, 100%, $E$13) + CHOOSE(CONTROL!$C$28, 0.0003, 0)</f>
        <v>80.308999999999997</v>
      </c>
      <c r="C700" s="4">
        <f>79.9454 * CHOOSE(CONTROL!$C$9, $C$13, 100%, $E$13) + CHOOSE(CONTROL!$C$28, 0.0003, 0)</f>
        <v>79.945700000000002</v>
      </c>
      <c r="D700" s="4">
        <f>77.5294 * CHOOSE(CONTROL!$C$9, $C$13, 100%, $E$13) + CHOOSE(CONTROL!$C$28, 0, 0)</f>
        <v>77.529399999999995</v>
      </c>
      <c r="E700" s="4">
        <f>463.328633306197 * CHOOSE(CONTROL!$C$9, $C$13, 100%, $E$13) + CHOOSE(CONTROL!$C$28, 0, 0)</f>
        <v>463.32863330619699</v>
      </c>
    </row>
    <row r="701" spans="1:5" ht="15">
      <c r="A701" s="13">
        <v>62854</v>
      </c>
      <c r="B701" s="4">
        <f>78.2526 * CHOOSE(CONTROL!$C$9, $C$13, 100%, $E$13) + CHOOSE(CONTROL!$C$28, 0.0003, 0)</f>
        <v>78.252899999999997</v>
      </c>
      <c r="C701" s="4">
        <f>77.8893 * CHOOSE(CONTROL!$C$9, $C$13, 100%, $E$13) + CHOOSE(CONTROL!$C$28, 0.0003, 0)</f>
        <v>77.889600000000002</v>
      </c>
      <c r="D701" s="4">
        <f>74.9668 * CHOOSE(CONTROL!$C$9, $C$13, 100%, $E$13) + CHOOSE(CONTROL!$C$28, 0, 0)</f>
        <v>74.966800000000006</v>
      </c>
      <c r="E701" s="4">
        <f>450.042133707937 * CHOOSE(CONTROL!$C$9, $C$13, 100%, $E$13) + CHOOSE(CONTROL!$C$28, 0, 0)</f>
        <v>450.04213370793701</v>
      </c>
    </row>
    <row r="702" spans="1:5" ht="15">
      <c r="A702" s="13">
        <v>62883</v>
      </c>
      <c r="B702" s="4">
        <f>80.0923 * CHOOSE(CONTROL!$C$9, $C$13, 100%, $E$13) + CHOOSE(CONTROL!$C$28, 0.0003, 0)</f>
        <v>80.09259999999999</v>
      </c>
      <c r="C702" s="4">
        <f>79.729 * CHOOSE(CONTROL!$C$9, $C$13, 100%, $E$13) + CHOOSE(CONTROL!$C$28, 0.0003, 0)</f>
        <v>79.729299999999995</v>
      </c>
      <c r="D702" s="4">
        <f>77.5473 * CHOOSE(CONTROL!$C$9, $C$13, 100%, $E$13) + CHOOSE(CONTROL!$C$28, 0, 0)</f>
        <v>77.547300000000007</v>
      </c>
      <c r="E702" s="4">
        <f>460.727907537457 * CHOOSE(CONTROL!$C$9, $C$13, 100%, $E$13) + CHOOSE(CONTROL!$C$28, 0, 0)</f>
        <v>460.72790753745699</v>
      </c>
    </row>
    <row r="703" spans="1:5" ht="15">
      <c r="A703" s="13">
        <v>62914</v>
      </c>
      <c r="B703" s="4">
        <f>84.9233 * CHOOSE(CONTROL!$C$9, $C$13, 100%, $E$13) + CHOOSE(CONTROL!$C$28, 0.0003, 0)</f>
        <v>84.923599999999993</v>
      </c>
      <c r="C703" s="4">
        <f>84.5601 * CHOOSE(CONTROL!$C$9, $C$13, 100%, $E$13) + CHOOSE(CONTROL!$C$28, 0.0003, 0)</f>
        <v>84.560400000000001</v>
      </c>
      <c r="D703" s="4">
        <f>81.5869 * CHOOSE(CONTROL!$C$9, $C$13, 100%, $E$13) + CHOOSE(CONTROL!$C$28, 0, 0)</f>
        <v>81.5869</v>
      </c>
      <c r="E703" s="4">
        <f>488.789317490285 * CHOOSE(CONTROL!$C$9, $C$13, 100%, $E$13) + CHOOSE(CONTROL!$C$28, 0, 0)</f>
        <v>488.78931749028499</v>
      </c>
    </row>
    <row r="704" spans="1:5" ht="15">
      <c r="A704" s="13">
        <v>62944</v>
      </c>
      <c r="B704" s="4">
        <f>88.3559 * CHOOSE(CONTROL!$C$9, $C$13, 100%, $E$13) + CHOOSE(CONTROL!$C$28, 0.0003, 0)</f>
        <v>88.356200000000001</v>
      </c>
      <c r="C704" s="4">
        <f>87.9926 * CHOOSE(CONTROL!$C$9, $C$13, 100%, $E$13) + CHOOSE(CONTROL!$C$28, 0.0003, 0)</f>
        <v>87.992899999999992</v>
      </c>
      <c r="D704" s="4">
        <f>83.9139 * CHOOSE(CONTROL!$C$9, $C$13, 100%, $E$13) + CHOOSE(CONTROL!$C$28, 0, 0)</f>
        <v>83.913899999999998</v>
      </c>
      <c r="E704" s="4">
        <f>508.727323229228 * CHOOSE(CONTROL!$C$9, $C$13, 100%, $E$13) + CHOOSE(CONTROL!$C$28, 0, 0)</f>
        <v>508.72732322922798</v>
      </c>
    </row>
    <row r="705" spans="1:5" ht="15">
      <c r="A705" s="13">
        <v>62975</v>
      </c>
      <c r="B705" s="4">
        <f>90.4531 * CHOOSE(CONTROL!$C$9, $C$13, 100%, $E$13) + CHOOSE(CONTROL!$C$28, 0.0311, 0)</f>
        <v>90.484200000000001</v>
      </c>
      <c r="C705" s="4">
        <f>90.0898 * CHOOSE(CONTROL!$C$9, $C$13, 100%, $E$13) + CHOOSE(CONTROL!$C$28, 0.0311, 0)</f>
        <v>90.120899999999992</v>
      </c>
      <c r="D705" s="4">
        <f>82.9944 * CHOOSE(CONTROL!$C$9, $C$13, 100%, $E$13) + CHOOSE(CONTROL!$C$28, 0, 0)</f>
        <v>82.994399999999999</v>
      </c>
      <c r="E705" s="4">
        <f>520.908966888414 * CHOOSE(CONTROL!$C$9, $C$13, 100%, $E$13) + CHOOSE(CONTROL!$C$28, 0, 0)</f>
        <v>520.90896688841406</v>
      </c>
    </row>
    <row r="706" spans="1:5" ht="15">
      <c r="A706" s="13">
        <v>63005</v>
      </c>
      <c r="B706" s="4">
        <f>90.7368 * CHOOSE(CONTROL!$C$9, $C$13, 100%, $E$13) + CHOOSE(CONTROL!$C$28, 0.0311, 0)</f>
        <v>90.767899999999997</v>
      </c>
      <c r="C706" s="4">
        <f>90.3735 * CHOOSE(CONTROL!$C$9, $C$13, 100%, $E$13) + CHOOSE(CONTROL!$C$28, 0.0311, 0)</f>
        <v>90.404600000000002</v>
      </c>
      <c r="D706" s="4">
        <f>83.7432 * CHOOSE(CONTROL!$C$9, $C$13, 100%, $E$13) + CHOOSE(CONTROL!$C$28, 0, 0)</f>
        <v>83.743200000000002</v>
      </c>
      <c r="E706" s="4">
        <f>522.557193830362 * CHOOSE(CONTROL!$C$9, $C$13, 100%, $E$13) + CHOOSE(CONTROL!$C$28, 0, 0)</f>
        <v>522.55719383036205</v>
      </c>
    </row>
    <row r="707" spans="1:5" ht="15">
      <c r="A707" s="13">
        <v>63036</v>
      </c>
      <c r="B707" s="4">
        <f>90.7082 * CHOOSE(CONTROL!$C$9, $C$13, 100%, $E$13) + CHOOSE(CONTROL!$C$28, 0.0311, 0)</f>
        <v>90.7393</v>
      </c>
      <c r="C707" s="4">
        <f>90.3449 * CHOOSE(CONTROL!$C$9, $C$13, 100%, $E$13) + CHOOSE(CONTROL!$C$28, 0.0311, 0)</f>
        <v>90.375999999999991</v>
      </c>
      <c r="D707" s="4">
        <f>85.0944 * CHOOSE(CONTROL!$C$9, $C$13, 100%, $E$13) + CHOOSE(CONTROL!$C$28, 0, 0)</f>
        <v>85.094399999999993</v>
      </c>
      <c r="E707" s="4">
        <f>522.390986071511 * CHOOSE(CONTROL!$C$9, $C$13, 100%, $E$13) + CHOOSE(CONTROL!$C$28, 0, 0)</f>
        <v>522.39098607151095</v>
      </c>
    </row>
    <row r="708" spans="1:5" ht="15">
      <c r="A708" s="13">
        <v>63067</v>
      </c>
      <c r="B708" s="4">
        <f>92.8614 * CHOOSE(CONTROL!$C$9, $C$13, 100%, $E$13) + CHOOSE(CONTROL!$C$28, 0.0311, 0)</f>
        <v>92.892499999999998</v>
      </c>
      <c r="C708" s="4">
        <f>92.4981 * CHOOSE(CONTROL!$C$9, $C$13, 100%, $E$13) + CHOOSE(CONTROL!$C$28, 0.0311, 0)</f>
        <v>92.529199999999989</v>
      </c>
      <c r="D708" s="4">
        <f>84.2021 * CHOOSE(CONTROL!$C$9, $C$13, 100%, $E$13) + CHOOSE(CONTROL!$C$28, 0, 0)</f>
        <v>84.202100000000002</v>
      </c>
      <c r="E708" s="4">
        <f>534.898119925116 * CHOOSE(CONTROL!$C$9, $C$13, 100%, $E$13) + CHOOSE(CONTROL!$C$28, 0, 0)</f>
        <v>534.89811992511602</v>
      </c>
    </row>
    <row r="709" spans="1:5" ht="15">
      <c r="A709" s="13">
        <v>63097</v>
      </c>
      <c r="B709" s="4">
        <f>89.1916 * CHOOSE(CONTROL!$C$9, $C$13, 100%, $E$13) + CHOOSE(CONTROL!$C$28, 0.0311, 0)</f>
        <v>89.222699999999989</v>
      </c>
      <c r="C709" s="4">
        <f>88.8284 * CHOOSE(CONTROL!$C$9, $C$13, 100%, $E$13) + CHOOSE(CONTROL!$C$28, 0.0311, 0)</f>
        <v>88.859499999999997</v>
      </c>
      <c r="D709" s="4">
        <f>83.7805 * CHOOSE(CONTROL!$C$9, $C$13, 100%, $E$13) + CHOOSE(CONTROL!$C$28, 0, 0)</f>
        <v>83.780500000000004</v>
      </c>
      <c r="E709" s="4">
        <f>513.58197485236 * CHOOSE(CONTROL!$C$9, $C$13, 100%, $E$13) + CHOOSE(CONTROL!$C$28, 0, 0)</f>
        <v>513.58197485235996</v>
      </c>
    </row>
    <row r="710" spans="1:5" ht="15">
      <c r="A710" s="13">
        <v>63128</v>
      </c>
      <c r="B710" s="4">
        <f>86.2539 * CHOOSE(CONTROL!$C$9, $C$13, 100%, $E$13) + CHOOSE(CONTROL!$C$28, 0.0003, 0)</f>
        <v>86.254199999999997</v>
      </c>
      <c r="C710" s="4">
        <f>85.8906 * CHOOSE(CONTROL!$C$9, $C$13, 100%, $E$13) + CHOOSE(CONTROL!$C$28, 0.0003, 0)</f>
        <v>85.890900000000002</v>
      </c>
      <c r="D710" s="4">
        <f>82.6516 * CHOOSE(CONTROL!$C$9, $C$13, 100%, $E$13) + CHOOSE(CONTROL!$C$28, 0, 0)</f>
        <v>82.651600000000002</v>
      </c>
      <c r="E710" s="4">
        <f>496.517978276899 * CHOOSE(CONTROL!$C$9, $C$13, 100%, $E$13) + CHOOSE(CONTROL!$C$28, 0, 0)</f>
        <v>496.51797827689899</v>
      </c>
    </row>
    <row r="711" spans="1:5" ht="15">
      <c r="A711" s="13">
        <v>63158</v>
      </c>
      <c r="B711" s="4">
        <f>84.3618 * CHOOSE(CONTROL!$C$9, $C$13, 100%, $E$13) + CHOOSE(CONTROL!$C$28, 0.0003, 0)</f>
        <v>84.362099999999998</v>
      </c>
      <c r="C711" s="4">
        <f>83.9985 * CHOOSE(CONTROL!$C$9, $C$13, 100%, $E$13) + CHOOSE(CONTROL!$C$28, 0.0003, 0)</f>
        <v>83.998800000000003</v>
      </c>
      <c r="D711" s="4">
        <f>82.2635 * CHOOSE(CONTROL!$C$9, $C$13, 100%, $E$13) + CHOOSE(CONTROL!$C$28, 0, 0)</f>
        <v>82.263499999999993</v>
      </c>
      <c r="E711" s="4">
        <f>485.527490222817 * CHOOSE(CONTROL!$C$9, $C$13, 100%, $E$13) + CHOOSE(CONTROL!$C$28, 0, 0)</f>
        <v>485.52749022281699</v>
      </c>
    </row>
    <row r="712" spans="1:5" ht="15">
      <c r="A712" s="13">
        <v>63189</v>
      </c>
      <c r="B712" s="4">
        <f>83.0527 * CHOOSE(CONTROL!$C$9, $C$13, 100%, $E$13) + CHOOSE(CONTROL!$C$28, 0.0003, 0)</f>
        <v>83.052999999999997</v>
      </c>
      <c r="C712" s="4">
        <f>82.6894 * CHOOSE(CONTROL!$C$9, $C$13, 100%, $E$13) + CHOOSE(CONTROL!$C$28, 0.0003, 0)</f>
        <v>82.689700000000002</v>
      </c>
      <c r="D712" s="4">
        <f>79.4062 * CHOOSE(CONTROL!$C$9, $C$13, 100%, $E$13) + CHOOSE(CONTROL!$C$28, 0, 0)</f>
        <v>79.406199999999998</v>
      </c>
      <c r="E712" s="4">
        <f>477.923485255343 * CHOOSE(CONTROL!$C$9, $C$13, 100%, $E$13) + CHOOSE(CONTROL!$C$28, 0, 0)</f>
        <v>477.923485255343</v>
      </c>
    </row>
    <row r="713" spans="1:5" ht="15">
      <c r="A713" s="13">
        <v>63220</v>
      </c>
      <c r="B713" s="4">
        <f>80.9257 * CHOOSE(CONTROL!$C$9, $C$13, 100%, $E$13) + CHOOSE(CONTROL!$C$28, 0.0003, 0)</f>
        <v>80.926000000000002</v>
      </c>
      <c r="C713" s="4">
        <f>80.5624 * CHOOSE(CONTROL!$C$9, $C$13, 100%, $E$13) + CHOOSE(CONTROL!$C$28, 0.0003, 0)</f>
        <v>80.562699999999992</v>
      </c>
      <c r="D713" s="4">
        <f>76.7801 * CHOOSE(CONTROL!$C$9, $C$13, 100%, $E$13) + CHOOSE(CONTROL!$C$28, 0, 0)</f>
        <v>76.780100000000004</v>
      </c>
      <c r="E713" s="4">
        <f>464.218460919737 * CHOOSE(CONTROL!$C$9, $C$13, 100%, $E$13) + CHOOSE(CONTROL!$C$28, 0, 0)</f>
        <v>464.21846091973703</v>
      </c>
    </row>
    <row r="714" spans="1:5" ht="15">
      <c r="A714" s="13">
        <v>63248</v>
      </c>
      <c r="B714" s="4">
        <f>82.8288 * CHOOSE(CONTROL!$C$9, $C$13, 100%, $E$13) + CHOOSE(CONTROL!$C$28, 0.0003, 0)</f>
        <v>82.829099999999997</v>
      </c>
      <c r="C714" s="4">
        <f>82.4655 * CHOOSE(CONTROL!$C$9, $C$13, 100%, $E$13) + CHOOSE(CONTROL!$C$28, 0.0003, 0)</f>
        <v>82.465800000000002</v>
      </c>
      <c r="D714" s="4">
        <f>79.4246 * CHOOSE(CONTROL!$C$9, $C$13, 100%, $E$13) + CHOOSE(CONTROL!$C$28, 0, 0)</f>
        <v>79.424599999999998</v>
      </c>
      <c r="E714" s="4">
        <f>475.240836624887 * CHOOSE(CONTROL!$C$9, $C$13, 100%, $E$13) + CHOOSE(CONTROL!$C$28, 0, 0)</f>
        <v>475.24083662488698</v>
      </c>
    </row>
    <row r="715" spans="1:5" ht="15">
      <c r="A715" s="13">
        <v>63279</v>
      </c>
      <c r="B715" s="4">
        <f>87.8265 * CHOOSE(CONTROL!$C$9, $C$13, 100%, $E$13) + CHOOSE(CONTROL!$C$28, 0.0003, 0)</f>
        <v>87.826799999999992</v>
      </c>
      <c r="C715" s="4">
        <f>87.4632 * CHOOSE(CONTROL!$C$9, $C$13, 100%, $E$13) + CHOOSE(CONTROL!$C$28, 0.0003, 0)</f>
        <v>87.463499999999996</v>
      </c>
      <c r="D715" s="4">
        <f>83.5644 * CHOOSE(CONTROL!$C$9, $C$13, 100%, $E$13) + CHOOSE(CONTROL!$C$28, 0, 0)</f>
        <v>83.564400000000006</v>
      </c>
      <c r="E715" s="4">
        <f>504.186180991229 * CHOOSE(CONTROL!$C$9, $C$13, 100%, $E$13) + CHOOSE(CONTROL!$C$28, 0, 0)</f>
        <v>504.18618099122898</v>
      </c>
    </row>
    <row r="716" spans="1:5" ht="15">
      <c r="A716" s="13">
        <v>63309</v>
      </c>
      <c r="B716" s="4">
        <f>91.3775 * CHOOSE(CONTROL!$C$9, $C$13, 100%, $E$13) + CHOOSE(CONTROL!$C$28, 0.0003, 0)</f>
        <v>91.377799999999993</v>
      </c>
      <c r="C716" s="4">
        <f>91.0142 * CHOOSE(CONTROL!$C$9, $C$13, 100%, $E$13) + CHOOSE(CONTROL!$C$28, 0.0003, 0)</f>
        <v>91.014499999999998</v>
      </c>
      <c r="D716" s="4">
        <f>85.949 * CHOOSE(CONTROL!$C$9, $C$13, 100%, $E$13) + CHOOSE(CONTROL!$C$28, 0, 0)</f>
        <v>85.948999999999998</v>
      </c>
      <c r="E716" s="4">
        <f>524.752233910948 * CHOOSE(CONTROL!$C$9, $C$13, 100%, $E$13) + CHOOSE(CONTROL!$C$28, 0, 0)</f>
        <v>524.75223391094801</v>
      </c>
    </row>
    <row r="717" spans="1:5" ht="15">
      <c r="A717" s="13">
        <v>63340</v>
      </c>
      <c r="B717" s="4">
        <f>93.547 * CHOOSE(CONTROL!$C$9, $C$13, 100%, $E$13) + CHOOSE(CONTROL!$C$28, 0.0311, 0)</f>
        <v>93.578099999999992</v>
      </c>
      <c r="C717" s="4">
        <f>93.1837 * CHOOSE(CONTROL!$C$9, $C$13, 100%, $E$13) + CHOOSE(CONTROL!$C$28, 0.0311, 0)</f>
        <v>93.214799999999997</v>
      </c>
      <c r="D717" s="4">
        <f>85.0067 * CHOOSE(CONTROL!$C$9, $C$13, 100%, $E$13) + CHOOSE(CONTROL!$C$28, 0, 0)</f>
        <v>85.006699999999995</v>
      </c>
      <c r="E717" s="4">
        <f>537.317599345399 * CHOOSE(CONTROL!$C$9, $C$13, 100%, $E$13) + CHOOSE(CONTROL!$C$28, 0, 0)</f>
        <v>537.317599345399</v>
      </c>
    </row>
    <row r="718" spans="1:5" ht="15">
      <c r="A718" s="13">
        <v>63370</v>
      </c>
      <c r="B718" s="4">
        <f>93.8405 * CHOOSE(CONTROL!$C$9, $C$13, 100%, $E$13) + CHOOSE(CONTROL!$C$28, 0.0311, 0)</f>
        <v>93.871600000000001</v>
      </c>
      <c r="C718" s="4">
        <f>93.4773 * CHOOSE(CONTROL!$C$9, $C$13, 100%, $E$13) + CHOOSE(CONTROL!$C$28, 0.0311, 0)</f>
        <v>93.508399999999995</v>
      </c>
      <c r="D718" s="4">
        <f>85.7741 * CHOOSE(CONTROL!$C$9, $C$13, 100%, $E$13) + CHOOSE(CONTROL!$C$28, 0, 0)</f>
        <v>85.774100000000004</v>
      </c>
      <c r="E718" s="4">
        <f>539.017745436019 * CHOOSE(CONTROL!$C$9, $C$13, 100%, $E$13) + CHOOSE(CONTROL!$C$28, 0, 0)</f>
        <v>539.01774543601903</v>
      </c>
    </row>
    <row r="719" spans="1:5" ht="15">
      <c r="A719" s="13">
        <v>63401</v>
      </c>
      <c r="B719" s="4">
        <f>93.8109 * CHOOSE(CONTROL!$C$9, $C$13, 100%, $E$13) + CHOOSE(CONTROL!$C$28, 0.0311, 0)</f>
        <v>93.841999999999999</v>
      </c>
      <c r="C719" s="4">
        <f>93.4477 * CHOOSE(CONTROL!$C$9, $C$13, 100%, $E$13) + CHOOSE(CONTROL!$C$28, 0.0311, 0)</f>
        <v>93.478799999999993</v>
      </c>
      <c r="D719" s="4">
        <f>87.1589 * CHOOSE(CONTROL!$C$9, $C$13, 100%, $E$13) + CHOOSE(CONTROL!$C$28, 0, 0)</f>
        <v>87.158900000000003</v>
      </c>
      <c r="E719" s="4">
        <f>538.846302132763 * CHOOSE(CONTROL!$C$9, $C$13, 100%, $E$13) + CHOOSE(CONTROL!$C$28, 0, 0)</f>
        <v>538.84630213276296</v>
      </c>
    </row>
    <row r="720" spans="1:5" ht="15">
      <c r="A720" s="13">
        <v>63432</v>
      </c>
      <c r="B720" s="4">
        <f>96.0385 * CHOOSE(CONTROL!$C$9, $C$13, 100%, $E$13) + CHOOSE(CONTROL!$C$28, 0.0311, 0)</f>
        <v>96.069599999999994</v>
      </c>
      <c r="C720" s="4">
        <f>95.6752 * CHOOSE(CONTROL!$C$9, $C$13, 100%, $E$13) + CHOOSE(CONTROL!$C$28, 0.0311, 0)</f>
        <v>95.706299999999999</v>
      </c>
      <c r="D720" s="4">
        <f>86.2444 * CHOOSE(CONTROL!$C$9, $C$13, 100%, $E$13) + CHOOSE(CONTROL!$C$28, 0, 0)</f>
        <v>86.244399999999999</v>
      </c>
      <c r="E720" s="4">
        <f>551.747410702757 * CHOOSE(CONTROL!$C$9, $C$13, 100%, $E$13) + CHOOSE(CONTROL!$C$28, 0, 0)</f>
        <v>551.74741070275695</v>
      </c>
    </row>
    <row r="721" spans="1:5" ht="15">
      <c r="A721" s="13">
        <v>63462</v>
      </c>
      <c r="B721" s="4">
        <f>92.2421 * CHOOSE(CONTROL!$C$9, $C$13, 100%, $E$13) + CHOOSE(CONTROL!$C$28, 0.0311, 0)</f>
        <v>92.273199999999989</v>
      </c>
      <c r="C721" s="4">
        <f>91.8788 * CHOOSE(CONTROL!$C$9, $C$13, 100%, $E$13) + CHOOSE(CONTROL!$C$28, 0.0311, 0)</f>
        <v>91.909899999999993</v>
      </c>
      <c r="D721" s="4">
        <f>85.8123 * CHOOSE(CONTROL!$C$9, $C$13, 100%, $E$13) + CHOOSE(CONTROL!$C$28, 0, 0)</f>
        <v>85.812299999999993</v>
      </c>
      <c r="E721" s="4">
        <f>529.759807060209 * CHOOSE(CONTROL!$C$9, $C$13, 100%, $E$13) + CHOOSE(CONTROL!$C$28, 0, 0)</f>
        <v>529.75980706020903</v>
      </c>
    </row>
    <row r="722" spans="1:5" ht="15">
      <c r="A722" s="13">
        <v>63493</v>
      </c>
      <c r="B722" s="4">
        <f>89.203 * CHOOSE(CONTROL!$C$9, $C$13, 100%, $E$13) + CHOOSE(CONTROL!$C$28, 0.0003, 0)</f>
        <v>89.203299999999999</v>
      </c>
      <c r="C722" s="4">
        <f>88.8397 * CHOOSE(CONTROL!$C$9, $C$13, 100%, $E$13) + CHOOSE(CONTROL!$C$28, 0.0003, 0)</f>
        <v>88.839999999999989</v>
      </c>
      <c r="D722" s="4">
        <f>84.6554 * CHOOSE(CONTROL!$C$9, $C$13, 100%, $E$13) + CHOOSE(CONTROL!$C$28, 0, 0)</f>
        <v>84.6554</v>
      </c>
      <c r="E722" s="4">
        <f>512.158294592621 * CHOOSE(CONTROL!$C$9, $C$13, 100%, $E$13) + CHOOSE(CONTROL!$C$28, 0, 0)</f>
        <v>512.15829459262102</v>
      </c>
    </row>
    <row r="723" spans="1:5" ht="15">
      <c r="A723" s="13">
        <v>63523</v>
      </c>
      <c r="B723" s="4">
        <f>87.2456 * CHOOSE(CONTROL!$C$9, $C$13, 100%, $E$13) + CHOOSE(CONTROL!$C$28, 0.0003, 0)</f>
        <v>87.245899999999992</v>
      </c>
      <c r="C723" s="4">
        <f>86.8823 * CHOOSE(CONTROL!$C$9, $C$13, 100%, $E$13) + CHOOSE(CONTROL!$C$28, 0.0003, 0)</f>
        <v>86.882599999999996</v>
      </c>
      <c r="D723" s="4">
        <f>84.2577 * CHOOSE(CONTROL!$C$9, $C$13, 100%, $E$13) + CHOOSE(CONTROL!$C$28, 0, 0)</f>
        <v>84.2577</v>
      </c>
      <c r="E723" s="4">
        <f>500.821606164836 * CHOOSE(CONTROL!$C$9, $C$13, 100%, $E$13) + CHOOSE(CONTROL!$C$28, 0, 0)</f>
        <v>500.821606164836</v>
      </c>
    </row>
    <row r="724" spans="1:5" ht="15">
      <c r="A724" s="13">
        <v>63554</v>
      </c>
      <c r="B724" s="4">
        <f>85.8913 * CHOOSE(CONTROL!$C$9, $C$13, 100%, $E$13) + CHOOSE(CONTROL!$C$28, 0.0003, 0)</f>
        <v>85.891599999999997</v>
      </c>
      <c r="C724" s="4">
        <f>85.528 * CHOOSE(CONTROL!$C$9, $C$13, 100%, $E$13) + CHOOSE(CONTROL!$C$28, 0.0003, 0)</f>
        <v>85.528300000000002</v>
      </c>
      <c r="D724" s="4">
        <f>81.3295 * CHOOSE(CONTROL!$C$9, $C$13, 100%, $E$13) + CHOOSE(CONTROL!$C$28, 0, 0)</f>
        <v>81.329499999999996</v>
      </c>
      <c r="E724" s="4">
        <f>492.978075040886 * CHOOSE(CONTROL!$C$9, $C$13, 100%, $E$13) + CHOOSE(CONTROL!$C$28, 0, 0)</f>
        <v>492.97807504088598</v>
      </c>
    </row>
    <row r="725" spans="1:5" ht="15">
      <c r="A725" s="13">
        <v>63585</v>
      </c>
      <c r="B725" s="4">
        <f>83.6909 * CHOOSE(CONTROL!$C$9, $C$13, 100%, $E$13) + CHOOSE(CONTROL!$C$28, 0.0003, 0)</f>
        <v>83.691199999999995</v>
      </c>
      <c r="C725" s="4">
        <f>83.3276 * CHOOSE(CONTROL!$C$9, $C$13, 100%, $E$13) + CHOOSE(CONTROL!$C$28, 0.0003, 0)</f>
        <v>83.3279</v>
      </c>
      <c r="D725" s="4">
        <f>78.6383 * CHOOSE(CONTROL!$C$9, $C$13, 100%, $E$13) + CHOOSE(CONTROL!$C$28, 0, 0)</f>
        <v>78.638300000000001</v>
      </c>
      <c r="E725" s="4">
        <f>478.841342438709 * CHOOSE(CONTROL!$C$9, $C$13, 100%, $E$13) + CHOOSE(CONTROL!$C$28, 0, 0)</f>
        <v>478.84134243870898</v>
      </c>
    </row>
    <row r="726" spans="1:5" ht="15">
      <c r="A726" s="13">
        <v>63613</v>
      </c>
      <c r="B726" s="4">
        <f>85.6597 * CHOOSE(CONTROL!$C$9, $C$13, 100%, $E$13) + CHOOSE(CONTROL!$C$28, 0.0003, 0)</f>
        <v>85.66</v>
      </c>
      <c r="C726" s="4">
        <f>85.2964 * CHOOSE(CONTROL!$C$9, $C$13, 100%, $E$13) + CHOOSE(CONTROL!$C$28, 0.0003, 0)</f>
        <v>85.296700000000001</v>
      </c>
      <c r="D726" s="4">
        <f>81.3484 * CHOOSE(CONTROL!$C$9, $C$13, 100%, $E$13) + CHOOSE(CONTROL!$C$28, 0, 0)</f>
        <v>81.348399999999998</v>
      </c>
      <c r="E726" s="4">
        <f>490.210922978571 * CHOOSE(CONTROL!$C$9, $C$13, 100%, $E$13) + CHOOSE(CONTROL!$C$28, 0, 0)</f>
        <v>490.21092297857098</v>
      </c>
    </row>
    <row r="727" spans="1:5" ht="15">
      <c r="A727" s="13">
        <v>63644</v>
      </c>
      <c r="B727" s="4">
        <f>90.8298 * CHOOSE(CONTROL!$C$9, $C$13, 100%, $E$13) + CHOOSE(CONTROL!$C$28, 0.0003, 0)</f>
        <v>90.830100000000002</v>
      </c>
      <c r="C727" s="4">
        <f>90.4666 * CHOOSE(CONTROL!$C$9, $C$13, 100%, $E$13) + CHOOSE(CONTROL!$C$28, 0.0003, 0)</f>
        <v>90.466899999999995</v>
      </c>
      <c r="D727" s="4">
        <f>85.5908 * CHOOSE(CONTROL!$C$9, $C$13, 100%, $E$13) + CHOOSE(CONTROL!$C$28, 0, 0)</f>
        <v>85.590800000000002</v>
      </c>
      <c r="E727" s="4">
        <f>520.068045692453 * CHOOSE(CONTROL!$C$9, $C$13, 100%, $E$13) + CHOOSE(CONTROL!$C$28, 0, 0)</f>
        <v>520.06804569245298</v>
      </c>
    </row>
    <row r="728" spans="1:5" ht="15">
      <c r="A728" s="13">
        <v>63674</v>
      </c>
      <c r="B728" s="4">
        <f>94.5033 * CHOOSE(CONTROL!$C$9, $C$13, 100%, $E$13) + CHOOSE(CONTROL!$C$28, 0.0003, 0)</f>
        <v>94.503599999999992</v>
      </c>
      <c r="C728" s="4">
        <f>94.14 * CHOOSE(CONTROL!$C$9, $C$13, 100%, $E$13) + CHOOSE(CONTROL!$C$28, 0.0003, 0)</f>
        <v>94.140299999999996</v>
      </c>
      <c r="D728" s="4">
        <f>88.0346 * CHOOSE(CONTROL!$C$9, $C$13, 100%, $E$13) + CHOOSE(CONTROL!$C$28, 0, 0)</f>
        <v>88.034599999999998</v>
      </c>
      <c r="E728" s="4">
        <f>541.281929279143 * CHOOSE(CONTROL!$C$9, $C$13, 100%, $E$13) + CHOOSE(CONTROL!$C$28, 0, 0)</f>
        <v>541.28192927914301</v>
      </c>
    </row>
    <row r="729" spans="1:5" ht="15">
      <c r="A729" s="13">
        <v>63705</v>
      </c>
      <c r="B729" s="4">
        <f>96.7477 * CHOOSE(CONTROL!$C$9, $C$13, 100%, $E$13) + CHOOSE(CONTROL!$C$28, 0.0311, 0)</f>
        <v>96.77879999999999</v>
      </c>
      <c r="C729" s="4">
        <f>96.3844 * CHOOSE(CONTROL!$C$9, $C$13, 100%, $E$13) + CHOOSE(CONTROL!$C$28, 0.0311, 0)</f>
        <v>96.415499999999994</v>
      </c>
      <c r="D729" s="4">
        <f>87.069 * CHOOSE(CONTROL!$C$9, $C$13, 100%, $E$13) + CHOOSE(CONTROL!$C$28, 0, 0)</f>
        <v>87.069000000000003</v>
      </c>
      <c r="E729" s="4">
        <f>554.24310372478 * CHOOSE(CONTROL!$C$9, $C$13, 100%, $E$13) + CHOOSE(CONTROL!$C$28, 0, 0)</f>
        <v>554.24310372477998</v>
      </c>
    </row>
    <row r="730" spans="1:5" ht="15">
      <c r="A730" s="13">
        <v>63735</v>
      </c>
      <c r="B730" s="4">
        <f>97.0514 * CHOOSE(CONTROL!$C$9, $C$13, 100%, $E$13) + CHOOSE(CONTROL!$C$28, 0.0311, 0)</f>
        <v>97.082499999999996</v>
      </c>
      <c r="C730" s="4">
        <f>96.6881 * CHOOSE(CONTROL!$C$9, $C$13, 100%, $E$13) + CHOOSE(CONTROL!$C$28, 0.0311, 0)</f>
        <v>96.719200000000001</v>
      </c>
      <c r="D730" s="4">
        <f>87.8554 * CHOOSE(CONTROL!$C$9, $C$13, 100%, $E$13) + CHOOSE(CONTROL!$C$28, 0, 0)</f>
        <v>87.855400000000003</v>
      </c>
      <c r="E730" s="4">
        <f>555.996804417253 * CHOOSE(CONTROL!$C$9, $C$13, 100%, $E$13) + CHOOSE(CONTROL!$C$28, 0, 0)</f>
        <v>555.99680441725297</v>
      </c>
    </row>
    <row r="731" spans="1:5" ht="15">
      <c r="A731" s="13">
        <v>63766</v>
      </c>
      <c r="B731" s="4">
        <f>97.0207 * CHOOSE(CONTROL!$C$9, $C$13, 100%, $E$13) + CHOOSE(CONTROL!$C$28, 0.0311, 0)</f>
        <v>97.0518</v>
      </c>
      <c r="C731" s="4">
        <f>96.6575 * CHOOSE(CONTROL!$C$9, $C$13, 100%, $E$13) + CHOOSE(CONTROL!$C$28, 0.0311, 0)</f>
        <v>96.688599999999994</v>
      </c>
      <c r="D731" s="4">
        <f>89.2745 * CHOOSE(CONTROL!$C$9, $C$13, 100%, $E$13) + CHOOSE(CONTROL!$C$28, 0, 0)</f>
        <v>89.274500000000003</v>
      </c>
      <c r="E731" s="4">
        <f>555.819960649945 * CHOOSE(CONTROL!$C$9, $C$13, 100%, $E$13) + CHOOSE(CONTROL!$C$28, 0, 0)</f>
        <v>555.81996064994496</v>
      </c>
    </row>
    <row r="732" spans="1:5" ht="15">
      <c r="A732" s="13">
        <v>63797</v>
      </c>
      <c r="B732" s="4">
        <f>99.3251 * CHOOSE(CONTROL!$C$9, $C$13, 100%, $E$13) + CHOOSE(CONTROL!$C$28, 0.0311, 0)</f>
        <v>99.356200000000001</v>
      </c>
      <c r="C732" s="4">
        <f>98.9618 * CHOOSE(CONTROL!$C$9, $C$13, 100%, $E$13) + CHOOSE(CONTROL!$C$28, 0.0311, 0)</f>
        <v>98.992899999999992</v>
      </c>
      <c r="D732" s="4">
        <f>88.3373 * CHOOSE(CONTROL!$C$9, $C$13, 100%, $E$13) + CHOOSE(CONTROL!$C$28, 0, 0)</f>
        <v>88.337299999999999</v>
      </c>
      <c r="E732" s="4">
        <f>569.127454139894 * CHOOSE(CONTROL!$C$9, $C$13, 100%, $E$13) + CHOOSE(CONTROL!$C$28, 0, 0)</f>
        <v>569.12745413989398</v>
      </c>
    </row>
    <row r="733" spans="1:5" ht="15">
      <c r="A733" s="13">
        <v>63827</v>
      </c>
      <c r="B733" s="4">
        <f>95.3977 * CHOOSE(CONTROL!$C$9, $C$13, 100%, $E$13) + CHOOSE(CONTROL!$C$28, 0.0311, 0)</f>
        <v>95.428799999999995</v>
      </c>
      <c r="C733" s="4">
        <f>95.0345 * CHOOSE(CONTROL!$C$9, $C$13, 100%, $E$13) + CHOOSE(CONTROL!$C$28, 0.0311, 0)</f>
        <v>95.065599999999989</v>
      </c>
      <c r="D733" s="4">
        <f>87.8945 * CHOOSE(CONTROL!$C$9, $C$13, 100%, $E$13) + CHOOSE(CONTROL!$C$28, 0, 0)</f>
        <v>87.894499999999994</v>
      </c>
      <c r="E733" s="4">
        <f>546.447240982606 * CHOOSE(CONTROL!$C$9, $C$13, 100%, $E$13) + CHOOSE(CONTROL!$C$28, 0, 0)</f>
        <v>546.44724098260599</v>
      </c>
    </row>
    <row r="734" spans="1:5" ht="15">
      <c r="A734" s="13">
        <v>63858</v>
      </c>
      <c r="B734" s="4">
        <f>92.2538 * CHOOSE(CONTROL!$C$9, $C$13, 100%, $E$13) + CHOOSE(CONTROL!$C$28, 0.0003, 0)</f>
        <v>92.254099999999994</v>
      </c>
      <c r="C734" s="4">
        <f>91.8905 * CHOOSE(CONTROL!$C$9, $C$13, 100%, $E$13) + CHOOSE(CONTROL!$C$28, 0.0003, 0)</f>
        <v>91.890799999999999</v>
      </c>
      <c r="D734" s="4">
        <f>86.709 * CHOOSE(CONTROL!$C$9, $C$13, 100%, $E$13) + CHOOSE(CONTROL!$C$28, 0, 0)</f>
        <v>86.709000000000003</v>
      </c>
      <c r="E734" s="4">
        <f>528.291280872288 * CHOOSE(CONTROL!$C$9, $C$13, 100%, $E$13) + CHOOSE(CONTROL!$C$28, 0, 0)</f>
        <v>528.29128087228798</v>
      </c>
    </row>
    <row r="735" spans="1:5" ht="15">
      <c r="A735" s="13">
        <v>63888</v>
      </c>
      <c r="B735" s="4">
        <f>90.2289 * CHOOSE(CONTROL!$C$9, $C$13, 100%, $E$13) + CHOOSE(CONTROL!$C$28, 0.0003, 0)</f>
        <v>90.229199999999992</v>
      </c>
      <c r="C735" s="4">
        <f>89.8656 * CHOOSE(CONTROL!$C$9, $C$13, 100%, $E$13) + CHOOSE(CONTROL!$C$28, 0.0003, 0)</f>
        <v>89.865899999999996</v>
      </c>
      <c r="D735" s="4">
        <f>86.3014 * CHOOSE(CONTROL!$C$9, $C$13, 100%, $E$13) + CHOOSE(CONTROL!$C$28, 0, 0)</f>
        <v>86.301400000000001</v>
      </c>
      <c r="E735" s="4">
        <f>516.597486759028 * CHOOSE(CONTROL!$C$9, $C$13, 100%, $E$13) + CHOOSE(CONTROL!$C$28, 0, 0)</f>
        <v>516.59748675902802</v>
      </c>
    </row>
    <row r="736" spans="1:5" ht="15">
      <c r="A736" s="13">
        <v>63919</v>
      </c>
      <c r="B736" s="4">
        <f>88.8279 * CHOOSE(CONTROL!$C$9, $C$13, 100%, $E$13) + CHOOSE(CONTROL!$C$28, 0.0003, 0)</f>
        <v>88.828199999999995</v>
      </c>
      <c r="C736" s="4">
        <f>88.4646 * CHOOSE(CONTROL!$C$9, $C$13, 100%, $E$13) + CHOOSE(CONTROL!$C$28, 0.0003, 0)</f>
        <v>88.4649</v>
      </c>
      <c r="D736" s="4">
        <f>83.3006 * CHOOSE(CONTROL!$C$9, $C$13, 100%, $E$13) + CHOOSE(CONTROL!$C$28, 0, 0)</f>
        <v>83.300600000000003</v>
      </c>
      <c r="E736" s="4">
        <f>508.506884404674 * CHOOSE(CONTROL!$C$9, $C$13, 100%, $E$13) + CHOOSE(CONTROL!$C$28, 0, 0)</f>
        <v>508.506884404674</v>
      </c>
    </row>
    <row r="737" spans="1:5" ht="15">
      <c r="A737" s="13">
        <v>63950</v>
      </c>
      <c r="B737" s="4">
        <f>86.5516 * CHOOSE(CONTROL!$C$9, $C$13, 100%, $E$13) + CHOOSE(CONTROL!$C$28, 0.0003, 0)</f>
        <v>86.551899999999989</v>
      </c>
      <c r="C737" s="4">
        <f>86.1883 * CHOOSE(CONTROL!$C$9, $C$13, 100%, $E$13) + CHOOSE(CONTROL!$C$28, 0.0003, 0)</f>
        <v>86.188599999999994</v>
      </c>
      <c r="D737" s="4">
        <f>80.5426 * CHOOSE(CONTROL!$C$9, $C$13, 100%, $E$13) + CHOOSE(CONTROL!$C$28, 0, 0)</f>
        <v>80.542599999999993</v>
      </c>
      <c r="E737" s="4">
        <f>493.924844725528 * CHOOSE(CONTROL!$C$9, $C$13, 100%, $E$13) + CHOOSE(CONTROL!$C$28, 0, 0)</f>
        <v>493.92484472552798</v>
      </c>
    </row>
    <row r="738" spans="1:5" ht="15">
      <c r="A738" s="13">
        <v>63978</v>
      </c>
      <c r="B738" s="4">
        <f>88.5883 * CHOOSE(CONTROL!$C$9, $C$13, 100%, $E$13) + CHOOSE(CONTROL!$C$28, 0.0003, 0)</f>
        <v>88.5886</v>
      </c>
      <c r="C738" s="4">
        <f>88.225 * CHOOSE(CONTROL!$C$9, $C$13, 100%, $E$13) + CHOOSE(CONTROL!$C$28, 0.0003, 0)</f>
        <v>88.22529999999999</v>
      </c>
      <c r="D738" s="4">
        <f>83.3199 * CHOOSE(CONTROL!$C$9, $C$13, 100%, $E$13) + CHOOSE(CONTROL!$C$28, 0, 0)</f>
        <v>83.319900000000004</v>
      </c>
      <c r="E738" s="4">
        <f>505.652567052396 * CHOOSE(CONTROL!$C$9, $C$13, 100%, $E$13) + CHOOSE(CONTROL!$C$28, 0, 0)</f>
        <v>505.65256705239602</v>
      </c>
    </row>
    <row r="739" spans="1:5" ht="15">
      <c r="A739" s="13">
        <v>64009</v>
      </c>
      <c r="B739" s="4">
        <f>93.9368 * CHOOSE(CONTROL!$C$9, $C$13, 100%, $E$13) + CHOOSE(CONTROL!$C$28, 0.0003, 0)</f>
        <v>93.937100000000001</v>
      </c>
      <c r="C739" s="4">
        <f>93.5735 * CHOOSE(CONTROL!$C$9, $C$13, 100%, $E$13) + CHOOSE(CONTROL!$C$28, 0.0003, 0)</f>
        <v>93.573799999999991</v>
      </c>
      <c r="D739" s="4">
        <f>87.6676 * CHOOSE(CONTROL!$C$9, $C$13, 100%, $E$13) + CHOOSE(CONTROL!$C$28, 0, 0)</f>
        <v>87.667599999999993</v>
      </c>
      <c r="E739" s="4">
        <f>536.450189131765 * CHOOSE(CONTROL!$C$9, $C$13, 100%, $E$13) + CHOOSE(CONTROL!$C$28, 0, 0)</f>
        <v>536.450189131765</v>
      </c>
    </row>
    <row r="740" spans="1:5" ht="15">
      <c r="A740" s="13">
        <v>64039</v>
      </c>
      <c r="B740" s="4">
        <f>97.737 * CHOOSE(CONTROL!$C$9, $C$13, 100%, $E$13) + CHOOSE(CONTROL!$C$28, 0.0003, 0)</f>
        <v>97.737299999999991</v>
      </c>
      <c r="C740" s="4">
        <f>97.3737 * CHOOSE(CONTROL!$C$9, $C$13, 100%, $E$13) + CHOOSE(CONTROL!$C$28, 0.0003, 0)</f>
        <v>97.373999999999995</v>
      </c>
      <c r="D740" s="4">
        <f>90.172 * CHOOSE(CONTROL!$C$9, $C$13, 100%, $E$13) + CHOOSE(CONTROL!$C$28, 0, 0)</f>
        <v>90.171999999999997</v>
      </c>
      <c r="E740" s="4">
        <f>558.332310051436 * CHOOSE(CONTROL!$C$9, $C$13, 100%, $E$13) + CHOOSE(CONTROL!$C$28, 0, 0)</f>
        <v>558.33231005143602</v>
      </c>
    </row>
    <row r="741" spans="1:5" ht="15">
      <c r="A741" s="13">
        <v>64070</v>
      </c>
      <c r="B741" s="4">
        <f>100.0588 * CHOOSE(CONTROL!$C$9, $C$13, 100%, $E$13) + CHOOSE(CONTROL!$C$28, 0.0311, 0)</f>
        <v>100.0899</v>
      </c>
      <c r="C741" s="4">
        <f>99.6955 * CHOOSE(CONTROL!$C$9, $C$13, 100%, $E$13) + CHOOSE(CONTROL!$C$28, 0.0311, 0)</f>
        <v>99.726599999999991</v>
      </c>
      <c r="D741" s="4">
        <f>89.1823 * CHOOSE(CONTROL!$C$9, $C$13, 100%, $E$13) + CHOOSE(CONTROL!$C$28, 0, 0)</f>
        <v>89.182299999999998</v>
      </c>
      <c r="E741" s="4">
        <f>571.70176149211 * CHOOSE(CONTROL!$C$9, $C$13, 100%, $E$13) + CHOOSE(CONTROL!$C$28, 0, 0)</f>
        <v>571.70176149210999</v>
      </c>
    </row>
    <row r="742" spans="1:5" ht="15">
      <c r="A742" s="13">
        <v>64100</v>
      </c>
      <c r="B742" s="4">
        <f>100.373 * CHOOSE(CONTROL!$C$9, $C$13, 100%, $E$13) + CHOOSE(CONTROL!$C$28, 0.0311, 0)</f>
        <v>100.4041</v>
      </c>
      <c r="C742" s="4">
        <f>100.0097 * CHOOSE(CONTROL!$C$9, $C$13, 100%, $E$13) + CHOOSE(CONTROL!$C$28, 0.0311, 0)</f>
        <v>100.04079999999999</v>
      </c>
      <c r="D742" s="4">
        <f>89.9883 * CHOOSE(CONTROL!$C$9, $C$13, 100%, $E$13) + CHOOSE(CONTROL!$C$28, 0, 0)</f>
        <v>89.988299999999995</v>
      </c>
      <c r="E742" s="4">
        <f>573.510703756397 * CHOOSE(CONTROL!$C$9, $C$13, 100%, $E$13) + CHOOSE(CONTROL!$C$28, 0, 0)</f>
        <v>573.51070375639699</v>
      </c>
    </row>
    <row r="743" spans="1:5" ht="15">
      <c r="A743" s="13">
        <v>64131</v>
      </c>
      <c r="B743" s="4">
        <f>100.3413 * CHOOSE(CONTROL!$C$9, $C$13, 100%, $E$13) + CHOOSE(CONTROL!$C$28, 0.0311, 0)</f>
        <v>100.3724</v>
      </c>
      <c r="C743" s="4">
        <f>99.978 * CHOOSE(CONTROL!$C$9, $C$13, 100%, $E$13) + CHOOSE(CONTROL!$C$28, 0.0311, 0)</f>
        <v>100.00909999999999</v>
      </c>
      <c r="D743" s="4">
        <f>91.4426 * CHOOSE(CONTROL!$C$9, $C$13, 100%, $E$13) + CHOOSE(CONTROL!$C$28, 0, 0)</f>
        <v>91.442599999999999</v>
      </c>
      <c r="E743" s="4">
        <f>573.328289410418 * CHOOSE(CONTROL!$C$9, $C$13, 100%, $E$13) + CHOOSE(CONTROL!$C$28, 0, 0)</f>
        <v>573.32828941041805</v>
      </c>
    </row>
    <row r="744" spans="1:5" ht="15">
      <c r="A744" s="13">
        <v>64162</v>
      </c>
      <c r="B744" s="4">
        <f>102.7251 * CHOOSE(CONTROL!$C$9, $C$13, 100%, $E$13) + CHOOSE(CONTROL!$C$28, 0.0311, 0)</f>
        <v>102.75619999999999</v>
      </c>
      <c r="C744" s="4">
        <f>102.3619 * CHOOSE(CONTROL!$C$9, $C$13, 100%, $E$13) + CHOOSE(CONTROL!$C$28, 0.0311, 0)</f>
        <v>102.393</v>
      </c>
      <c r="D744" s="4">
        <f>90.4822 * CHOOSE(CONTROL!$C$9, $C$13, 100%, $E$13) + CHOOSE(CONTROL!$C$28, 0, 0)</f>
        <v>90.482200000000006</v>
      </c>
      <c r="E744" s="4">
        <f>587.0549689453 * CHOOSE(CONTROL!$C$9, $C$13, 100%, $E$13) + CHOOSE(CONTROL!$C$28, 0, 0)</f>
        <v>587.05496894529995</v>
      </c>
    </row>
    <row r="745" spans="1:5" ht="15">
      <c r="A745" s="13">
        <v>64192</v>
      </c>
      <c r="B745" s="4">
        <f>98.6623 * CHOOSE(CONTROL!$C$9, $C$13, 100%, $E$13) + CHOOSE(CONTROL!$C$28, 0.0311, 0)</f>
        <v>98.693399999999997</v>
      </c>
      <c r="C745" s="4">
        <f>98.299 * CHOOSE(CONTROL!$C$9, $C$13, 100%, $E$13) + CHOOSE(CONTROL!$C$28, 0.0311, 0)</f>
        <v>98.330100000000002</v>
      </c>
      <c r="D745" s="4">
        <f>90.0284 * CHOOSE(CONTROL!$C$9, $C$13, 100%, $E$13) + CHOOSE(CONTROL!$C$28, 0, 0)</f>
        <v>90.028400000000005</v>
      </c>
      <c r="E745" s="4">
        <f>563.660329073558 * CHOOSE(CONTROL!$C$9, $C$13, 100%, $E$13) + CHOOSE(CONTROL!$C$28, 0, 0)</f>
        <v>563.66032907355805</v>
      </c>
    </row>
    <row r="746" spans="1:5" ht="15">
      <c r="A746" s="13">
        <v>64223</v>
      </c>
      <c r="B746" s="4">
        <f>95.4099 * CHOOSE(CONTROL!$C$9, $C$13, 100%, $E$13) + CHOOSE(CONTROL!$C$28, 0.0003, 0)</f>
        <v>95.410199999999989</v>
      </c>
      <c r="C746" s="4">
        <f>95.0466 * CHOOSE(CONTROL!$C$9, $C$13, 100%, $E$13) + CHOOSE(CONTROL!$C$28, 0.0003, 0)</f>
        <v>95.046899999999994</v>
      </c>
      <c r="D746" s="4">
        <f>88.8134 * CHOOSE(CONTROL!$C$9, $C$13, 100%, $E$13) + CHOOSE(CONTROL!$C$28, 0, 0)</f>
        <v>88.813400000000001</v>
      </c>
      <c r="E746" s="4">
        <f>544.932456219766 * CHOOSE(CONTROL!$C$9, $C$13, 100%, $E$13) + CHOOSE(CONTROL!$C$28, 0, 0)</f>
        <v>544.93245621976598</v>
      </c>
    </row>
    <row r="747" spans="1:5" ht="15">
      <c r="A747" s="13">
        <v>64253</v>
      </c>
      <c r="B747" s="4">
        <f>93.3151 * CHOOSE(CONTROL!$C$9, $C$13, 100%, $E$13) + CHOOSE(CONTROL!$C$28, 0.0003, 0)</f>
        <v>93.315399999999997</v>
      </c>
      <c r="C747" s="4">
        <f>92.9518 * CHOOSE(CONTROL!$C$9, $C$13, 100%, $E$13) + CHOOSE(CONTROL!$C$28, 0.0003, 0)</f>
        <v>92.952100000000002</v>
      </c>
      <c r="D747" s="4">
        <f>88.3957 * CHOOSE(CONTROL!$C$9, $C$13, 100%, $E$13) + CHOOSE(CONTROL!$C$28, 0, 0)</f>
        <v>88.395700000000005</v>
      </c>
      <c r="E747" s="4">
        <f>532.870307591937 * CHOOSE(CONTROL!$C$9, $C$13, 100%, $E$13) + CHOOSE(CONTROL!$C$28, 0, 0)</f>
        <v>532.87030759193703</v>
      </c>
    </row>
    <row r="748" spans="1:5" ht="15">
      <c r="A748" s="13">
        <v>64284</v>
      </c>
      <c r="B748" s="4">
        <f>91.8658 * CHOOSE(CONTROL!$C$9, $C$13, 100%, $E$13) + CHOOSE(CONTROL!$C$28, 0.0003, 0)</f>
        <v>91.866099999999989</v>
      </c>
      <c r="C748" s="4">
        <f>91.5025 * CHOOSE(CONTROL!$C$9, $C$13, 100%, $E$13) + CHOOSE(CONTROL!$C$28, 0.0003, 0)</f>
        <v>91.502799999999993</v>
      </c>
      <c r="D748" s="4">
        <f>85.3205 * CHOOSE(CONTROL!$C$9, $C$13, 100%, $E$13) + CHOOSE(CONTROL!$C$28, 0, 0)</f>
        <v>85.320499999999996</v>
      </c>
      <c r="E748" s="4">
        <f>524.524851263421 * CHOOSE(CONTROL!$C$9, $C$13, 100%, $E$13) + CHOOSE(CONTROL!$C$28, 0, 0)</f>
        <v>524.52485126342106</v>
      </c>
    </row>
    <row r="749" spans="1:5" ht="15">
      <c r="A749" s="13">
        <v>64315</v>
      </c>
      <c r="B749" s="4">
        <f>89.5109 * CHOOSE(CONTROL!$C$9, $C$13, 100%, $E$13) + CHOOSE(CONTROL!$C$28, 0.0003, 0)</f>
        <v>89.511200000000002</v>
      </c>
      <c r="C749" s="4">
        <f>89.1476 * CHOOSE(CONTROL!$C$9, $C$13, 100%, $E$13) + CHOOSE(CONTROL!$C$28, 0.0003, 0)</f>
        <v>89.147899999999993</v>
      </c>
      <c r="D749" s="4">
        <f>82.4941 * CHOOSE(CONTROL!$C$9, $C$13, 100%, $E$13) + CHOOSE(CONTROL!$C$28, 0, 0)</f>
        <v>82.494100000000003</v>
      </c>
      <c r="E749" s="4">
        <f>509.483477334382 * CHOOSE(CONTROL!$C$9, $C$13, 100%, $E$13) + CHOOSE(CONTROL!$C$28, 0, 0)</f>
        <v>509.48347733438197</v>
      </c>
    </row>
    <row r="750" spans="1:5" ht="15">
      <c r="A750" s="13">
        <v>64344</v>
      </c>
      <c r="B750" s="4">
        <f>91.6179 * CHOOSE(CONTROL!$C$9, $C$13, 100%, $E$13) + CHOOSE(CONTROL!$C$28, 0.0003, 0)</f>
        <v>91.618200000000002</v>
      </c>
      <c r="C750" s="4">
        <f>91.2546 * CHOOSE(CONTROL!$C$9, $C$13, 100%, $E$13) + CHOOSE(CONTROL!$C$28, 0.0003, 0)</f>
        <v>91.254899999999992</v>
      </c>
      <c r="D750" s="4">
        <f>85.3403 * CHOOSE(CONTROL!$C$9, $C$13, 100%, $E$13) + CHOOSE(CONTROL!$C$28, 0, 0)</f>
        <v>85.340299999999999</v>
      </c>
      <c r="E750" s="4">
        <f>521.580622914546 * CHOOSE(CONTROL!$C$9, $C$13, 100%, $E$13) + CHOOSE(CONTROL!$C$28, 0, 0)</f>
        <v>521.58062291454598</v>
      </c>
    </row>
    <row r="751" spans="1:5" ht="15">
      <c r="A751" s="13">
        <v>64375</v>
      </c>
      <c r="B751" s="4">
        <f>97.1509 * CHOOSE(CONTROL!$C$9, $C$13, 100%, $E$13) + CHOOSE(CONTROL!$C$28, 0.0003, 0)</f>
        <v>97.151199999999989</v>
      </c>
      <c r="C751" s="4">
        <f>96.7876 * CHOOSE(CONTROL!$C$9, $C$13, 100%, $E$13) + CHOOSE(CONTROL!$C$28, 0.0003, 0)</f>
        <v>96.787899999999993</v>
      </c>
      <c r="D751" s="4">
        <f>89.7958 * CHOOSE(CONTROL!$C$9, $C$13, 100%, $E$13) + CHOOSE(CONTROL!$C$28, 0, 0)</f>
        <v>89.7958</v>
      </c>
      <c r="E751" s="4">
        <f>553.348370089416 * CHOOSE(CONTROL!$C$9, $C$13, 100%, $E$13) + CHOOSE(CONTROL!$C$28, 0, 0)</f>
        <v>553.34837008941599</v>
      </c>
    </row>
    <row r="752" spans="1:5" ht="15">
      <c r="A752" s="13">
        <v>64405</v>
      </c>
      <c r="B752" s="4">
        <f>101.0822 * CHOOSE(CONTROL!$C$9, $C$13, 100%, $E$13) + CHOOSE(CONTROL!$C$28, 0.0003, 0)</f>
        <v>101.0825</v>
      </c>
      <c r="C752" s="4">
        <f>100.7189 * CHOOSE(CONTROL!$C$9, $C$13, 100%, $E$13) + CHOOSE(CONTROL!$C$28, 0.0003, 0)</f>
        <v>100.7192</v>
      </c>
      <c r="D752" s="4">
        <f>92.3623 * CHOOSE(CONTROL!$C$9, $C$13, 100%, $E$13) + CHOOSE(CONTROL!$C$28, 0, 0)</f>
        <v>92.362300000000005</v>
      </c>
      <c r="E752" s="4">
        <f>575.919777818056 * CHOOSE(CONTROL!$C$9, $C$13, 100%, $E$13) + CHOOSE(CONTROL!$C$28, 0, 0)</f>
        <v>575.91977781805599</v>
      </c>
    </row>
    <row r="753" spans="1:5" ht="15">
      <c r="A753" s="13">
        <v>64436</v>
      </c>
      <c r="B753" s="4">
        <f>103.4841 * CHOOSE(CONTROL!$C$9, $C$13, 100%, $E$13) + CHOOSE(CONTROL!$C$28, 0.0311, 0)</f>
        <v>103.51519999999999</v>
      </c>
      <c r="C753" s="4">
        <f>103.1209 * CHOOSE(CONTROL!$C$9, $C$13, 100%, $E$13) + CHOOSE(CONTROL!$C$28, 0.0311, 0)</f>
        <v>103.152</v>
      </c>
      <c r="D753" s="4">
        <f>91.3481 * CHOOSE(CONTROL!$C$9, $C$13, 100%, $E$13) + CHOOSE(CONTROL!$C$28, 0, 0)</f>
        <v>91.348100000000002</v>
      </c>
      <c r="E753" s="4">
        <f>589.710366979112 * CHOOSE(CONTROL!$C$9, $C$13, 100%, $E$13) + CHOOSE(CONTROL!$C$28, 0, 0)</f>
        <v>589.710366979112</v>
      </c>
    </row>
    <row r="754" spans="1:5" ht="15">
      <c r="A754" s="13">
        <v>64466</v>
      </c>
      <c r="B754" s="4">
        <f>103.8091 * CHOOSE(CONTROL!$C$9, $C$13, 100%, $E$13) + CHOOSE(CONTROL!$C$28, 0.0311, 0)</f>
        <v>103.8402</v>
      </c>
      <c r="C754" s="4">
        <f>103.4459 * CHOOSE(CONTROL!$C$9, $C$13, 100%, $E$13) + CHOOSE(CONTROL!$C$28, 0.0311, 0)</f>
        <v>103.47699999999999</v>
      </c>
      <c r="D754" s="4">
        <f>92.1741 * CHOOSE(CONTROL!$C$9, $C$13, 100%, $E$13) + CHOOSE(CONTROL!$C$28, 0, 0)</f>
        <v>92.174099999999996</v>
      </c>
      <c r="E754" s="4">
        <f>591.576290924723 * CHOOSE(CONTROL!$C$9, $C$13, 100%, $E$13) + CHOOSE(CONTROL!$C$28, 0, 0)</f>
        <v>591.57629092472303</v>
      </c>
    </row>
    <row r="755" spans="1:5" ht="15">
      <c r="A755" s="13">
        <v>64497</v>
      </c>
      <c r="B755" s="4">
        <f>103.7764 * CHOOSE(CONTROL!$C$9, $C$13, 100%, $E$13) + CHOOSE(CONTROL!$C$28, 0.0311, 0)</f>
        <v>103.80749999999999</v>
      </c>
      <c r="C755" s="4">
        <f>103.4131 * CHOOSE(CONTROL!$C$9, $C$13, 100%, $E$13) + CHOOSE(CONTROL!$C$28, 0.0311, 0)</f>
        <v>103.4442</v>
      </c>
      <c r="D755" s="4">
        <f>93.6644 * CHOOSE(CONTROL!$C$9, $C$13, 100%, $E$13) + CHOOSE(CONTROL!$C$28, 0, 0)</f>
        <v>93.664400000000001</v>
      </c>
      <c r="E755" s="4">
        <f>591.388130526847 * CHOOSE(CONTROL!$C$9, $C$13, 100%, $E$13) + CHOOSE(CONTROL!$C$28, 0, 0)</f>
        <v>591.38813052684702</v>
      </c>
    </row>
    <row r="756" spans="1:5" ht="15">
      <c r="A756" s="13">
        <v>64528</v>
      </c>
      <c r="B756" s="4">
        <f>106.2425 * CHOOSE(CONTROL!$C$9, $C$13, 100%, $E$13) + CHOOSE(CONTROL!$C$28, 0.0311, 0)</f>
        <v>106.2736</v>
      </c>
      <c r="C756" s="4">
        <f>105.8792 * CHOOSE(CONTROL!$C$9, $C$13, 100%, $E$13) + CHOOSE(CONTROL!$C$28, 0.0311, 0)</f>
        <v>105.91029999999999</v>
      </c>
      <c r="D756" s="4">
        <f>92.6802 * CHOOSE(CONTROL!$C$9, $C$13, 100%, $E$13) + CHOOSE(CONTROL!$C$28, 0, 0)</f>
        <v>92.680199999999999</v>
      </c>
      <c r="E756" s="4">
        <f>605.547200467077 * CHOOSE(CONTROL!$C$9, $C$13, 100%, $E$13) + CHOOSE(CONTROL!$C$28, 0, 0)</f>
        <v>605.547200467077</v>
      </c>
    </row>
    <row r="757" spans="1:5" ht="15">
      <c r="A757" s="13">
        <v>64558</v>
      </c>
      <c r="B757" s="4">
        <f>102.0394 * CHOOSE(CONTROL!$C$9, $C$13, 100%, $E$13) + CHOOSE(CONTROL!$C$28, 0.0311, 0)</f>
        <v>102.0705</v>
      </c>
      <c r="C757" s="4">
        <f>101.6762 * CHOOSE(CONTROL!$C$9, $C$13, 100%, $E$13) + CHOOSE(CONTROL!$C$28, 0.0311, 0)</f>
        <v>101.70729999999999</v>
      </c>
      <c r="D757" s="4">
        <f>92.2152 * CHOOSE(CONTROL!$C$9, $C$13, 100%, $E$13) + CHOOSE(CONTROL!$C$28, 0, 0)</f>
        <v>92.215199999999996</v>
      </c>
      <c r="E757" s="4">
        <f>581.415629439375 * CHOOSE(CONTROL!$C$9, $C$13, 100%, $E$13) + CHOOSE(CONTROL!$C$28, 0, 0)</f>
        <v>581.41562943937504</v>
      </c>
    </row>
    <row r="758" spans="1:5" ht="15">
      <c r="A758" s="13">
        <v>64589</v>
      </c>
      <c r="B758" s="4">
        <f>98.6748 * CHOOSE(CONTROL!$C$9, $C$13, 100%, $E$13) + CHOOSE(CONTROL!$C$28, 0.0003, 0)</f>
        <v>98.6751</v>
      </c>
      <c r="C758" s="4">
        <f>98.3115 * CHOOSE(CONTROL!$C$9, $C$13, 100%, $E$13) + CHOOSE(CONTROL!$C$28, 0.0003, 0)</f>
        <v>98.311799999999991</v>
      </c>
      <c r="D758" s="4">
        <f>90.9701 * CHOOSE(CONTROL!$C$9, $C$13, 100%, $E$13) + CHOOSE(CONTROL!$C$28, 0, 0)</f>
        <v>90.970100000000002</v>
      </c>
      <c r="E758" s="4">
        <f>562.097828590688 * CHOOSE(CONTROL!$C$9, $C$13, 100%, $E$13) + CHOOSE(CONTROL!$C$28, 0, 0)</f>
        <v>562.09782859068798</v>
      </c>
    </row>
    <row r="759" spans="1:5" ht="15">
      <c r="A759" s="13">
        <v>64619</v>
      </c>
      <c r="B759" s="4">
        <f>96.5078 * CHOOSE(CONTROL!$C$9, $C$13, 100%, $E$13) + CHOOSE(CONTROL!$C$28, 0.0003, 0)</f>
        <v>96.508099999999999</v>
      </c>
      <c r="C759" s="4">
        <f>96.1445 * CHOOSE(CONTROL!$C$9, $C$13, 100%, $E$13) + CHOOSE(CONTROL!$C$28, 0.0003, 0)</f>
        <v>96.144799999999989</v>
      </c>
      <c r="D759" s="4">
        <f>90.542 * CHOOSE(CONTROL!$C$9, $C$13, 100%, $E$13) + CHOOSE(CONTROL!$C$28, 0, 0)</f>
        <v>90.542000000000002</v>
      </c>
      <c r="E759" s="4">
        <f>549.655722281083 * CHOOSE(CONTROL!$C$9, $C$13, 100%, $E$13) + CHOOSE(CONTROL!$C$28, 0, 0)</f>
        <v>549.65572228108294</v>
      </c>
    </row>
    <row r="760" spans="1:5" ht="15">
      <c r="A760" s="13">
        <v>64650</v>
      </c>
      <c r="B760" s="4">
        <f>95.0084 * CHOOSE(CONTROL!$C$9, $C$13, 100%, $E$13) + CHOOSE(CONTROL!$C$28, 0.0003, 0)</f>
        <v>95.00869999999999</v>
      </c>
      <c r="C760" s="4">
        <f>94.6452 * CHOOSE(CONTROL!$C$9, $C$13, 100%, $E$13) + CHOOSE(CONTROL!$C$28, 0.0003, 0)</f>
        <v>94.645499999999998</v>
      </c>
      <c r="D760" s="4">
        <f>87.3905 * CHOOSE(CONTROL!$C$9, $C$13, 100%, $E$13) + CHOOSE(CONTROL!$C$28, 0, 0)</f>
        <v>87.390500000000003</v>
      </c>
      <c r="E760" s="4">
        <f>541.047384078219 * CHOOSE(CONTROL!$C$9, $C$13, 100%, $E$13) + CHOOSE(CONTROL!$C$28, 0, 0)</f>
        <v>541.04738407821901</v>
      </c>
    </row>
    <row r="761" spans="1:5" ht="15">
      <c r="A761" s="13">
        <v>64681</v>
      </c>
      <c r="B761" s="4">
        <f>92.5724 * CHOOSE(CONTROL!$C$9, $C$13, 100%, $E$13) + CHOOSE(CONTROL!$C$28, 0.0003, 0)</f>
        <v>92.572699999999998</v>
      </c>
      <c r="C761" s="4">
        <f>92.2091 * CHOOSE(CONTROL!$C$9, $C$13, 100%, $E$13) + CHOOSE(CONTROL!$C$28, 0.0003, 0)</f>
        <v>92.209400000000002</v>
      </c>
      <c r="D761" s="4">
        <f>84.4941 * CHOOSE(CONTROL!$C$9, $C$13, 100%, $E$13) + CHOOSE(CONTROL!$C$28, 0, 0)</f>
        <v>84.494100000000003</v>
      </c>
      <c r="E761" s="4">
        <f>525.532206870415 * CHOOSE(CONTROL!$C$9, $C$13, 100%, $E$13) + CHOOSE(CONTROL!$C$28, 0, 0)</f>
        <v>525.53220687041505</v>
      </c>
    </row>
    <row r="762" spans="1:5" ht="15">
      <c r="A762" s="13">
        <v>64709</v>
      </c>
      <c r="B762" s="4">
        <f>94.752 * CHOOSE(CONTROL!$C$9, $C$13, 100%, $E$13) + CHOOSE(CONTROL!$C$28, 0.0003, 0)</f>
        <v>94.752299999999991</v>
      </c>
      <c r="C762" s="4">
        <f>94.3887 * CHOOSE(CONTROL!$C$9, $C$13, 100%, $E$13) + CHOOSE(CONTROL!$C$28, 0.0003, 0)</f>
        <v>94.388999999999996</v>
      </c>
      <c r="D762" s="4">
        <f>87.4108 * CHOOSE(CONTROL!$C$9, $C$13, 100%, $E$13) + CHOOSE(CONTROL!$C$28, 0, 0)</f>
        <v>87.410799999999995</v>
      </c>
      <c r="E762" s="4">
        <f>538.010412536354 * CHOOSE(CONTROL!$C$9, $C$13, 100%, $E$13) + CHOOSE(CONTROL!$C$28, 0, 0)</f>
        <v>538.01041253635401</v>
      </c>
    </row>
    <row r="763" spans="1:5" ht="15">
      <c r="A763" s="13">
        <v>64740</v>
      </c>
      <c r="B763" s="4">
        <f>100.4759 * CHOOSE(CONTROL!$C$9, $C$13, 100%, $E$13) + CHOOSE(CONTROL!$C$28, 0.0003, 0)</f>
        <v>100.47619999999999</v>
      </c>
      <c r="C763" s="4">
        <f>100.1127 * CHOOSE(CONTROL!$C$9, $C$13, 100%, $E$13) + CHOOSE(CONTROL!$C$28, 0.0003, 0)</f>
        <v>100.113</v>
      </c>
      <c r="D763" s="4">
        <f>91.9768 * CHOOSE(CONTROL!$C$9, $C$13, 100%, $E$13) + CHOOSE(CONTROL!$C$28, 0, 0)</f>
        <v>91.976799999999997</v>
      </c>
      <c r="E763" s="4">
        <f>570.778843747233 * CHOOSE(CONTROL!$C$9, $C$13, 100%, $E$13) + CHOOSE(CONTROL!$C$28, 0, 0)</f>
        <v>570.77884374723305</v>
      </c>
    </row>
    <row r="764" spans="1:5" ht="15">
      <c r="A764" s="13">
        <v>64770</v>
      </c>
      <c r="B764" s="4">
        <f>104.5429 * CHOOSE(CONTROL!$C$9, $C$13, 100%, $E$13) + CHOOSE(CONTROL!$C$28, 0.0003, 0)</f>
        <v>104.5432</v>
      </c>
      <c r="C764" s="4">
        <f>104.1796 * CHOOSE(CONTROL!$C$9, $C$13, 100%, $E$13) + CHOOSE(CONTROL!$C$28, 0.0003, 0)</f>
        <v>104.17989999999999</v>
      </c>
      <c r="D764" s="4">
        <f>94.607 * CHOOSE(CONTROL!$C$9, $C$13, 100%, $E$13) + CHOOSE(CONTROL!$C$28, 0, 0)</f>
        <v>94.606999999999999</v>
      </c>
      <c r="E764" s="4">
        <f>594.061250819325 * CHOOSE(CONTROL!$C$9, $C$13, 100%, $E$13) + CHOOSE(CONTROL!$C$28, 0, 0)</f>
        <v>594.06125081932498</v>
      </c>
    </row>
    <row r="765" spans="1:5" ht="15">
      <c r="A765" s="13">
        <v>64801</v>
      </c>
      <c r="B765" s="4">
        <f>107.0277 * CHOOSE(CONTROL!$C$9, $C$13, 100%, $E$13) + CHOOSE(CONTROL!$C$28, 0.0311, 0)</f>
        <v>107.05879999999999</v>
      </c>
      <c r="C765" s="4">
        <f>106.6644 * CHOOSE(CONTROL!$C$9, $C$13, 100%, $E$13) + CHOOSE(CONTROL!$C$28, 0.0311, 0)</f>
        <v>106.6955</v>
      </c>
      <c r="D765" s="4">
        <f>93.5676 * CHOOSE(CONTROL!$C$9, $C$13, 100%, $E$13) + CHOOSE(CONTROL!$C$28, 0, 0)</f>
        <v>93.567599999999999</v>
      </c>
      <c r="E765" s="4">
        <f>608.286243538954 * CHOOSE(CONTROL!$C$9, $C$13, 100%, $E$13) + CHOOSE(CONTROL!$C$28, 0, 0)</f>
        <v>608.28624353895395</v>
      </c>
    </row>
    <row r="766" spans="1:5" ht="15">
      <c r="A766" s="13">
        <v>64831</v>
      </c>
      <c r="B766" s="4">
        <f>107.3639 * CHOOSE(CONTROL!$C$9, $C$13, 100%, $E$13) + CHOOSE(CONTROL!$C$28, 0.0311, 0)</f>
        <v>107.395</v>
      </c>
      <c r="C766" s="4">
        <f>107.0006 * CHOOSE(CONTROL!$C$9, $C$13, 100%, $E$13) + CHOOSE(CONTROL!$C$28, 0.0311, 0)</f>
        <v>107.0317</v>
      </c>
      <c r="D766" s="4">
        <f>94.4141 * CHOOSE(CONTROL!$C$9, $C$13, 100%, $E$13) + CHOOSE(CONTROL!$C$28, 0, 0)</f>
        <v>94.414100000000005</v>
      </c>
      <c r="E766" s="4">
        <f>610.210944088852 * CHOOSE(CONTROL!$C$9, $C$13, 100%, $E$13) + CHOOSE(CONTROL!$C$28, 0, 0)</f>
        <v>610.21094408885199</v>
      </c>
    </row>
    <row r="767" spans="1:5" ht="15">
      <c r="A767" s="13">
        <v>64862</v>
      </c>
      <c r="B767" s="4">
        <f>107.33 * CHOOSE(CONTROL!$C$9, $C$13, 100%, $E$13) + CHOOSE(CONTROL!$C$28, 0.0311, 0)</f>
        <v>107.36109999999999</v>
      </c>
      <c r="C767" s="4">
        <f>106.9667 * CHOOSE(CONTROL!$C$9, $C$13, 100%, $E$13) + CHOOSE(CONTROL!$C$28, 0.0311, 0)</f>
        <v>106.9978</v>
      </c>
      <c r="D767" s="4">
        <f>95.9414 * CHOOSE(CONTROL!$C$9, $C$13, 100%, $E$13) + CHOOSE(CONTROL!$C$28, 0, 0)</f>
        <v>95.941400000000002</v>
      </c>
      <c r="E767" s="4">
        <f>610.016856638442 * CHOOSE(CONTROL!$C$9, $C$13, 100%, $E$13) + CHOOSE(CONTROL!$C$28, 0, 0)</f>
        <v>610.01685663844205</v>
      </c>
    </row>
    <row r="768" spans="1:5" ht="15">
      <c r="A768" s="13">
        <v>64893</v>
      </c>
      <c r="B768" s="4">
        <f>109.8812 * CHOOSE(CONTROL!$C$9, $C$13, 100%, $E$13) + CHOOSE(CONTROL!$C$28, 0.0311, 0)</f>
        <v>109.9123</v>
      </c>
      <c r="C768" s="4">
        <f>109.5179 * CHOOSE(CONTROL!$C$9, $C$13, 100%, $E$13) + CHOOSE(CONTROL!$C$28, 0.0311, 0)</f>
        <v>109.54899999999999</v>
      </c>
      <c r="D768" s="4">
        <f>94.9327 * CHOOSE(CONTROL!$C$9, $C$13, 100%, $E$13) + CHOOSE(CONTROL!$C$28, 0, 0)</f>
        <v>94.932699999999997</v>
      </c>
      <c r="E768" s="4">
        <f>624.62193728179 * CHOOSE(CONTROL!$C$9, $C$13, 100%, $E$13) + CHOOSE(CONTROL!$C$28, 0, 0)</f>
        <v>624.62193728179</v>
      </c>
    </row>
    <row r="769" spans="1:5" ht="15">
      <c r="A769" s="13">
        <v>64923</v>
      </c>
      <c r="B769" s="4">
        <f>105.5331 * CHOOSE(CONTROL!$C$9, $C$13, 100%, $E$13) + CHOOSE(CONTROL!$C$28, 0.0311, 0)</f>
        <v>105.5642</v>
      </c>
      <c r="C769" s="4">
        <f>105.1698 * CHOOSE(CONTROL!$C$9, $C$13, 100%, $E$13) + CHOOSE(CONTROL!$C$28, 0.0311, 0)</f>
        <v>105.20089999999999</v>
      </c>
      <c r="D769" s="4">
        <f>94.4562 * CHOOSE(CONTROL!$C$9, $C$13, 100%, $E$13) + CHOOSE(CONTROL!$C$28, 0, 0)</f>
        <v>94.456199999999995</v>
      </c>
      <c r="E769" s="4">
        <f>599.730221766716 * CHOOSE(CONTROL!$C$9, $C$13, 100%, $E$13) + CHOOSE(CONTROL!$C$28, 0, 0)</f>
        <v>599.730221766716</v>
      </c>
    </row>
    <row r="770" spans="1:5" ht="15">
      <c r="A770" s="13">
        <v>64954</v>
      </c>
      <c r="B770" s="4">
        <f>102.0524 * CHOOSE(CONTROL!$C$9, $C$13, 100%, $E$13) + CHOOSE(CONTROL!$C$28, 0.0003, 0)</f>
        <v>102.0527</v>
      </c>
      <c r="C770" s="4">
        <f>101.6891 * CHOOSE(CONTROL!$C$9, $C$13, 100%, $E$13) + CHOOSE(CONTROL!$C$28, 0.0003, 0)</f>
        <v>101.68939999999999</v>
      </c>
      <c r="D770" s="4">
        <f>93.1802 * CHOOSE(CONTROL!$C$9, $C$13, 100%, $E$13) + CHOOSE(CONTROL!$C$28, 0, 0)</f>
        <v>93.180199999999999</v>
      </c>
      <c r="E770" s="4">
        <f>579.803910191295 * CHOOSE(CONTROL!$C$9, $C$13, 100%, $E$13) + CHOOSE(CONTROL!$C$28, 0, 0)</f>
        <v>579.80391019129502</v>
      </c>
    </row>
    <row r="771" spans="1:5" ht="15">
      <c r="A771" s="13">
        <v>64984</v>
      </c>
      <c r="B771" s="4">
        <f>99.8106 * CHOOSE(CONTROL!$C$9, $C$13, 100%, $E$13) + CHOOSE(CONTROL!$C$28, 0.0003, 0)</f>
        <v>99.81089999999999</v>
      </c>
      <c r="C771" s="4">
        <f>99.4473 * CHOOSE(CONTROL!$C$9, $C$13, 100%, $E$13) + CHOOSE(CONTROL!$C$28, 0.0003, 0)</f>
        <v>99.447599999999994</v>
      </c>
      <c r="D771" s="4">
        <f>92.7415 * CHOOSE(CONTROL!$C$9, $C$13, 100%, $E$13) + CHOOSE(CONTROL!$C$28, 0, 0)</f>
        <v>92.741500000000002</v>
      </c>
      <c r="E771" s="4">
        <f>566.969877532938 * CHOOSE(CONTROL!$C$9, $C$13, 100%, $E$13) + CHOOSE(CONTROL!$C$28, 0, 0)</f>
        <v>566.96987753293797</v>
      </c>
    </row>
    <row r="772" spans="1:5" ht="15">
      <c r="A772" s="13">
        <v>65015</v>
      </c>
      <c r="B772" s="4">
        <f>98.2596 * CHOOSE(CONTROL!$C$9, $C$13, 100%, $E$13) + CHOOSE(CONTROL!$C$28, 0.0003, 0)</f>
        <v>98.259900000000002</v>
      </c>
      <c r="C772" s="4">
        <f>97.8963 * CHOOSE(CONTROL!$C$9, $C$13, 100%, $E$13) + CHOOSE(CONTROL!$C$28, 0.0003, 0)</f>
        <v>97.896599999999992</v>
      </c>
      <c r="D772" s="4">
        <f>89.5119 * CHOOSE(CONTROL!$C$9, $C$13, 100%, $E$13) + CHOOSE(CONTROL!$C$28, 0, 0)</f>
        <v>89.511899999999997</v>
      </c>
      <c r="E772" s="4">
        <f>558.090376676683 * CHOOSE(CONTROL!$C$9, $C$13, 100%, $E$13) + CHOOSE(CONTROL!$C$28, 0, 0)</f>
        <v>558.09037667668304</v>
      </c>
    </row>
    <row r="773" spans="1:5" ht="15">
      <c r="A773" s="13">
        <v>65046</v>
      </c>
      <c r="B773" s="4">
        <f>95.7394 * CHOOSE(CONTROL!$C$9, $C$13, 100%, $E$13) + CHOOSE(CONTROL!$C$28, 0.0003, 0)</f>
        <v>95.739699999999999</v>
      </c>
      <c r="C773" s="4">
        <f>95.3761 * CHOOSE(CONTROL!$C$9, $C$13, 100%, $E$13) + CHOOSE(CONTROL!$C$28, 0.0003, 0)</f>
        <v>95.37639999999999</v>
      </c>
      <c r="D773" s="4">
        <f>86.5436 * CHOOSE(CONTROL!$C$9, $C$13, 100%, $E$13) + CHOOSE(CONTROL!$C$28, 0, 0)</f>
        <v>86.543599999999998</v>
      </c>
      <c r="E773" s="4">
        <f>542.086471386833 * CHOOSE(CONTROL!$C$9, $C$13, 100%, $E$13) + CHOOSE(CONTROL!$C$28, 0, 0)</f>
        <v>542.08647138683295</v>
      </c>
    </row>
    <row r="774" spans="1:5" ht="15">
      <c r="A774" s="13">
        <v>65074</v>
      </c>
      <c r="B774" s="4">
        <f>97.9943 * CHOOSE(CONTROL!$C$9, $C$13, 100%, $E$13) + CHOOSE(CONTROL!$C$28, 0.0003, 0)</f>
        <v>97.994599999999991</v>
      </c>
      <c r="C774" s="4">
        <f>97.631 * CHOOSE(CONTROL!$C$9, $C$13, 100%, $E$13) + CHOOSE(CONTROL!$C$28, 0.0003, 0)</f>
        <v>97.631299999999996</v>
      </c>
      <c r="D774" s="4">
        <f>89.5327 * CHOOSE(CONTROL!$C$9, $C$13, 100%, $E$13) + CHOOSE(CONTROL!$C$28, 0, 0)</f>
        <v>89.532700000000006</v>
      </c>
      <c r="E774" s="4">
        <f>554.95774053125 * CHOOSE(CONTROL!$C$9, $C$13, 100%, $E$13) + CHOOSE(CONTROL!$C$28, 0, 0)</f>
        <v>554.95774053125001</v>
      </c>
    </row>
    <row r="775" spans="1:5" ht="15">
      <c r="A775" s="13">
        <v>65105</v>
      </c>
      <c r="B775" s="4">
        <f>103.9157 * CHOOSE(CONTROL!$C$9, $C$13, 100%, $E$13) + CHOOSE(CONTROL!$C$28, 0.0003, 0)</f>
        <v>103.916</v>
      </c>
      <c r="C775" s="4">
        <f>103.5524 * CHOOSE(CONTROL!$C$9, $C$13, 100%, $E$13) + CHOOSE(CONTROL!$C$28, 0.0003, 0)</f>
        <v>103.5527</v>
      </c>
      <c r="D775" s="4">
        <f>94.2119 * CHOOSE(CONTROL!$C$9, $C$13, 100%, $E$13) + CHOOSE(CONTROL!$C$28, 0, 0)</f>
        <v>94.2119</v>
      </c>
      <c r="E775" s="4">
        <f>588.75837732527 * CHOOSE(CONTROL!$C$9, $C$13, 100%, $E$13) + CHOOSE(CONTROL!$C$28, 0, 0)</f>
        <v>588.75837732526998</v>
      </c>
    </row>
    <row r="776" spans="1:5" ht="15">
      <c r="A776" s="13">
        <v>65135</v>
      </c>
      <c r="B776" s="4">
        <f>108.1229 * CHOOSE(CONTROL!$C$9, $C$13, 100%, $E$13) + CHOOSE(CONTROL!$C$28, 0.0003, 0)</f>
        <v>108.1232</v>
      </c>
      <c r="C776" s="4">
        <f>107.7596 * CHOOSE(CONTROL!$C$9, $C$13, 100%, $E$13) + CHOOSE(CONTROL!$C$28, 0.0003, 0)</f>
        <v>107.7599</v>
      </c>
      <c r="D776" s="4">
        <f>96.9073 * CHOOSE(CONTROL!$C$9, $C$13, 100%, $E$13) + CHOOSE(CONTROL!$C$28, 0, 0)</f>
        <v>96.907300000000006</v>
      </c>
      <c r="E776" s="4">
        <f>612.774180220134 * CHOOSE(CONTROL!$C$9, $C$13, 100%, $E$13) + CHOOSE(CONTROL!$C$28, 0, 0)</f>
        <v>612.77418022013399</v>
      </c>
    </row>
    <row r="777" spans="1:5" ht="15">
      <c r="A777" s="13">
        <v>65166</v>
      </c>
      <c r="B777" s="4">
        <f>110.6934 * CHOOSE(CONTROL!$C$9, $C$13, 100%, $E$13) + CHOOSE(CONTROL!$C$28, 0.0311, 0)</f>
        <v>110.72449999999999</v>
      </c>
      <c r="C777" s="4">
        <f>110.3302 * CHOOSE(CONTROL!$C$9, $C$13, 100%, $E$13) + CHOOSE(CONTROL!$C$28, 0.0311, 0)</f>
        <v>110.3613</v>
      </c>
      <c r="D777" s="4">
        <f>95.8422 * CHOOSE(CONTROL!$C$9, $C$13, 100%, $E$13) + CHOOSE(CONTROL!$C$28, 0, 0)</f>
        <v>95.842200000000005</v>
      </c>
      <c r="E777" s="4">
        <f>627.447260210431 * CHOOSE(CONTROL!$C$9, $C$13, 100%, $E$13) + CHOOSE(CONTROL!$C$28, 0, 0)</f>
        <v>627.44726021043095</v>
      </c>
    </row>
    <row r="778" spans="1:5" ht="15">
      <c r="A778" s="13">
        <v>65196</v>
      </c>
      <c r="B778" s="4">
        <f>111.0412 * CHOOSE(CONTROL!$C$9, $C$13, 100%, $E$13) + CHOOSE(CONTROL!$C$28, 0.0311, 0)</f>
        <v>111.0723</v>
      </c>
      <c r="C778" s="4">
        <f>110.678 * CHOOSE(CONTROL!$C$9, $C$13, 100%, $E$13) + CHOOSE(CONTROL!$C$28, 0.0311, 0)</f>
        <v>110.70909999999999</v>
      </c>
      <c r="D778" s="4">
        <f>96.7096 * CHOOSE(CONTROL!$C$9, $C$13, 100%, $E$13) + CHOOSE(CONTROL!$C$28, 0, 0)</f>
        <v>96.709599999999995</v>
      </c>
      <c r="E778" s="4">
        <f>629.432588827651 * CHOOSE(CONTROL!$C$9, $C$13, 100%, $E$13) + CHOOSE(CONTROL!$C$28, 0, 0)</f>
        <v>629.43258882765099</v>
      </c>
    </row>
    <row r="779" spans="1:5" ht="15">
      <c r="A779" s="13">
        <v>65227</v>
      </c>
      <c r="B779" s="4">
        <f>111.0062 * CHOOSE(CONTROL!$C$9, $C$13, 100%, $E$13) + CHOOSE(CONTROL!$C$28, 0.0311, 0)</f>
        <v>111.0373</v>
      </c>
      <c r="C779" s="4">
        <f>110.6429 * CHOOSE(CONTROL!$C$9, $C$13, 100%, $E$13) + CHOOSE(CONTROL!$C$28, 0.0311, 0)</f>
        <v>110.67399999999999</v>
      </c>
      <c r="D779" s="4">
        <f>98.2748 * CHOOSE(CONTROL!$C$9, $C$13, 100%, $E$13) + CHOOSE(CONTROL!$C$28, 0, 0)</f>
        <v>98.274799999999999</v>
      </c>
      <c r="E779" s="4">
        <f>629.232387622553 * CHOOSE(CONTROL!$C$9, $C$13, 100%, $E$13) + CHOOSE(CONTROL!$C$28, 0, 0)</f>
        <v>629.23238762255301</v>
      </c>
    </row>
    <row r="780" spans="1:5" ht="15">
      <c r="A780" s="13">
        <v>65258</v>
      </c>
      <c r="B780" s="4">
        <f>113.6454 * CHOOSE(CONTROL!$C$9, $C$13, 100%, $E$13) + CHOOSE(CONTROL!$C$28, 0.0311, 0)</f>
        <v>113.67649999999999</v>
      </c>
      <c r="C780" s="4">
        <f>113.2821 * CHOOSE(CONTROL!$C$9, $C$13, 100%, $E$13) + CHOOSE(CONTROL!$C$28, 0.0311, 0)</f>
        <v>113.31319999999999</v>
      </c>
      <c r="D780" s="4">
        <f>97.2411 * CHOOSE(CONTROL!$C$9, $C$13, 100%, $E$13) + CHOOSE(CONTROL!$C$28, 0, 0)</f>
        <v>97.241100000000003</v>
      </c>
      <c r="E780" s="4">
        <f>644.297528306167 * CHOOSE(CONTROL!$C$9, $C$13, 100%, $E$13) + CHOOSE(CONTROL!$C$28, 0, 0)</f>
        <v>644.29752830616701</v>
      </c>
    </row>
    <row r="781" spans="1:5" ht="15">
      <c r="A781" s="13">
        <v>65288</v>
      </c>
      <c r="B781" s="4">
        <f>109.1473 * CHOOSE(CONTROL!$C$9, $C$13, 100%, $E$13) + CHOOSE(CONTROL!$C$28, 0.0311, 0)</f>
        <v>109.1784</v>
      </c>
      <c r="C781" s="4">
        <f>108.784 * CHOOSE(CONTROL!$C$9, $C$13, 100%, $E$13) + CHOOSE(CONTROL!$C$28, 0.0311, 0)</f>
        <v>108.8151</v>
      </c>
      <c r="D781" s="4">
        <f>96.7528 * CHOOSE(CONTROL!$C$9, $C$13, 100%, $E$13) + CHOOSE(CONTROL!$C$28, 0, 0)</f>
        <v>96.752799999999993</v>
      </c>
      <c r="E781" s="4">
        <f>618.621723752367 * CHOOSE(CONTROL!$C$9, $C$13, 100%, $E$13) + CHOOSE(CONTROL!$C$28, 0, 0)</f>
        <v>618.62172375236696</v>
      </c>
    </row>
    <row r="782" spans="1:5" ht="15">
      <c r="A782" s="13">
        <v>65319</v>
      </c>
      <c r="B782" s="4">
        <f>105.5466 * CHOOSE(CONTROL!$C$9, $C$13, 100%, $E$13) + CHOOSE(CONTROL!$C$28, 0.0003, 0)</f>
        <v>105.54689999999999</v>
      </c>
      <c r="C782" s="4">
        <f>105.1833 * CHOOSE(CONTROL!$C$9, $C$13, 100%, $E$13) + CHOOSE(CONTROL!$C$28, 0.0003, 0)</f>
        <v>105.1836</v>
      </c>
      <c r="D782" s="4">
        <f>95.4451 * CHOOSE(CONTROL!$C$9, $C$13, 100%, $E$13) + CHOOSE(CONTROL!$C$28, 0, 0)</f>
        <v>95.445099999999996</v>
      </c>
      <c r="E782" s="4">
        <f>598.067733362321 * CHOOSE(CONTROL!$C$9, $C$13, 100%, $E$13) + CHOOSE(CONTROL!$C$28, 0, 0)</f>
        <v>598.06773336232095</v>
      </c>
    </row>
    <row r="783" spans="1:5" ht="15">
      <c r="A783" s="13">
        <v>65349</v>
      </c>
      <c r="B783" s="4">
        <f>103.2274 * CHOOSE(CONTROL!$C$9, $C$13, 100%, $E$13) + CHOOSE(CONTROL!$C$28, 0.0003, 0)</f>
        <v>103.2277</v>
      </c>
      <c r="C783" s="4">
        <f>102.8641 * CHOOSE(CONTROL!$C$9, $C$13, 100%, $E$13) + CHOOSE(CONTROL!$C$28, 0.0003, 0)</f>
        <v>102.86439999999999</v>
      </c>
      <c r="D783" s="4">
        <f>94.9956 * CHOOSE(CONTROL!$C$9, $C$13, 100%, $E$13) + CHOOSE(CONTROL!$C$28, 0, 0)</f>
        <v>94.995599999999996</v>
      </c>
      <c r="E783" s="4">
        <f>584.829428675225 * CHOOSE(CONTROL!$C$9, $C$13, 100%, $E$13) + CHOOSE(CONTROL!$C$28, 0, 0)</f>
        <v>584.82942867522502</v>
      </c>
    </row>
    <row r="784" spans="1:5" ht="15">
      <c r="A784" s="13">
        <v>65380</v>
      </c>
      <c r="B784" s="4">
        <f>101.6228 * CHOOSE(CONTROL!$C$9, $C$13, 100%, $E$13) + CHOOSE(CONTROL!$C$28, 0.0003, 0)</f>
        <v>101.62309999999999</v>
      </c>
      <c r="C784" s="4">
        <f>101.2595 * CHOOSE(CONTROL!$C$9, $C$13, 100%, $E$13) + CHOOSE(CONTROL!$C$28, 0.0003, 0)</f>
        <v>101.2598</v>
      </c>
      <c r="D784" s="4">
        <f>91.6859 * CHOOSE(CONTROL!$C$9, $C$13, 100%, $E$13) + CHOOSE(CONTROL!$C$28, 0, 0)</f>
        <v>91.685900000000004</v>
      </c>
      <c r="E784" s="4">
        <f>575.670223541998 * CHOOSE(CONTROL!$C$9, $C$13, 100%, $E$13) + CHOOSE(CONTROL!$C$28, 0, 0)</f>
        <v>575.67022354199798</v>
      </c>
    </row>
    <row r="785" spans="1:5" ht="15">
      <c r="A785" s="13">
        <v>65411</v>
      </c>
      <c r="B785" s="4">
        <f>99.0157 * CHOOSE(CONTROL!$C$9, $C$13, 100%, $E$13) + CHOOSE(CONTROL!$C$28, 0.0003, 0)</f>
        <v>99.015999999999991</v>
      </c>
      <c r="C785" s="4">
        <f>98.6525 * CHOOSE(CONTROL!$C$9, $C$13, 100%, $E$13) + CHOOSE(CONTROL!$C$28, 0.0003, 0)</f>
        <v>98.652799999999999</v>
      </c>
      <c r="D785" s="4">
        <f>88.6439 * CHOOSE(CONTROL!$C$9, $C$13, 100%, $E$13) + CHOOSE(CONTROL!$C$28, 0, 0)</f>
        <v>88.643900000000002</v>
      </c>
      <c r="E785" s="4">
        <f>559.162195235519 * CHOOSE(CONTROL!$C$9, $C$13, 100%, $E$13) + CHOOSE(CONTROL!$C$28, 0, 0)</f>
        <v>559.16219523551899</v>
      </c>
    </row>
    <row r="786" spans="1:5" ht="15">
      <c r="A786" s="13">
        <v>65439</v>
      </c>
      <c r="B786" s="4">
        <f>101.3484 * CHOOSE(CONTROL!$C$9, $C$13, 100%, $E$13) + CHOOSE(CONTROL!$C$28, 0.0003, 0)</f>
        <v>101.34869999999999</v>
      </c>
      <c r="C786" s="4">
        <f>100.9851 * CHOOSE(CONTROL!$C$9, $C$13, 100%, $E$13) + CHOOSE(CONTROL!$C$28, 0.0003, 0)</f>
        <v>100.9854</v>
      </c>
      <c r="D786" s="4">
        <f>91.7072 * CHOOSE(CONTROL!$C$9, $C$13, 100%, $E$13) + CHOOSE(CONTROL!$C$28, 0, 0)</f>
        <v>91.7072</v>
      </c>
      <c r="E786" s="4">
        <f>572.438909357984 * CHOOSE(CONTROL!$C$9, $C$13, 100%, $E$13) + CHOOSE(CONTROL!$C$28, 0, 0)</f>
        <v>572.43890935798402</v>
      </c>
    </row>
    <row r="787" spans="1:5" ht="15">
      <c r="A787" s="13">
        <v>65470</v>
      </c>
      <c r="B787" s="4">
        <f>107.4741 * CHOOSE(CONTROL!$C$9, $C$13, 100%, $E$13) + CHOOSE(CONTROL!$C$28, 0.0003, 0)</f>
        <v>107.4744</v>
      </c>
      <c r="C787" s="4">
        <f>107.1108 * CHOOSE(CONTROL!$C$9, $C$13, 100%, $E$13) + CHOOSE(CONTROL!$C$28, 0.0003, 0)</f>
        <v>107.11109999999999</v>
      </c>
      <c r="D787" s="4">
        <f>96.5024 * CHOOSE(CONTROL!$C$9, $C$13, 100%, $E$13) + CHOOSE(CONTROL!$C$28, 0, 0)</f>
        <v>96.502399999999994</v>
      </c>
      <c r="E787" s="4">
        <f>607.304266211017 * CHOOSE(CONTROL!$C$9, $C$13, 100%, $E$13) + CHOOSE(CONTROL!$C$28, 0, 0)</f>
        <v>607.30426621101697</v>
      </c>
    </row>
    <row r="788" spans="1:5" ht="15">
      <c r="A788" s="13">
        <v>65500</v>
      </c>
      <c r="B788" s="4">
        <f>111.8265 * CHOOSE(CONTROL!$C$9, $C$13, 100%, $E$13) + CHOOSE(CONTROL!$C$28, 0.0003, 0)</f>
        <v>111.82679999999999</v>
      </c>
      <c r="C788" s="4">
        <f>111.4632 * CHOOSE(CONTROL!$C$9, $C$13, 100%, $E$13) + CHOOSE(CONTROL!$C$28, 0.0003, 0)</f>
        <v>111.4635</v>
      </c>
      <c r="D788" s="4">
        <f>99.2647 * CHOOSE(CONTROL!$C$9, $C$13, 100%, $E$13) + CHOOSE(CONTROL!$C$28, 0, 0)</f>
        <v>99.264700000000005</v>
      </c>
      <c r="E788" s="4">
        <f>632.076566897068 * CHOOSE(CONTROL!$C$9, $C$13, 100%, $E$13) + CHOOSE(CONTROL!$C$28, 0, 0)</f>
        <v>632.07656689706801</v>
      </c>
    </row>
    <row r="789" spans="1:5" ht="15">
      <c r="A789" s="13">
        <v>65531</v>
      </c>
      <c r="B789" s="4">
        <f>114.4857 * CHOOSE(CONTROL!$C$9, $C$13, 100%, $E$13) + CHOOSE(CONTROL!$C$28, 0.0311, 0)</f>
        <v>114.51679999999999</v>
      </c>
      <c r="C789" s="4">
        <f>114.1224 * CHOOSE(CONTROL!$C$9, $C$13, 100%, $E$13) + CHOOSE(CONTROL!$C$28, 0.0311, 0)</f>
        <v>114.15349999999999</v>
      </c>
      <c r="D789" s="4">
        <f>98.1732 * CHOOSE(CONTROL!$C$9, $C$13, 100%, $E$13) + CHOOSE(CONTROL!$C$28, 0, 0)</f>
        <v>98.173199999999994</v>
      </c>
      <c r="E789" s="4">
        <f>647.211848907059 * CHOOSE(CONTROL!$C$9, $C$13, 100%, $E$13) + CHOOSE(CONTROL!$C$28, 0, 0)</f>
        <v>647.21184890705899</v>
      </c>
    </row>
    <row r="790" spans="1:5" ht="15">
      <c r="A790" s="13">
        <v>65561</v>
      </c>
      <c r="B790" s="4">
        <f>114.8455 * CHOOSE(CONTROL!$C$9, $C$13, 100%, $E$13) + CHOOSE(CONTROL!$C$28, 0.0311, 0)</f>
        <v>114.8766</v>
      </c>
      <c r="C790" s="4">
        <f>114.4822 * CHOOSE(CONTROL!$C$9, $C$13, 100%, $E$13) + CHOOSE(CONTROL!$C$28, 0.0311, 0)</f>
        <v>114.5133</v>
      </c>
      <c r="D790" s="4">
        <f>99.0621 * CHOOSE(CONTROL!$C$9, $C$13, 100%, $E$13) + CHOOSE(CONTROL!$C$28, 0, 0)</f>
        <v>99.062100000000001</v>
      </c>
      <c r="E790" s="4">
        <f>649.259715375722 * CHOOSE(CONTROL!$C$9, $C$13, 100%, $E$13) + CHOOSE(CONTROL!$C$28, 0, 0)</f>
        <v>649.25971537572195</v>
      </c>
    </row>
    <row r="791" spans="1:5" ht="15">
      <c r="A791" s="13">
        <v>65592</v>
      </c>
      <c r="B791" s="4">
        <f>114.8092 * CHOOSE(CONTROL!$C$9, $C$13, 100%, $E$13) + CHOOSE(CONTROL!$C$28, 0.0311, 0)</f>
        <v>114.8403</v>
      </c>
      <c r="C791" s="4">
        <f>114.4459 * CHOOSE(CONTROL!$C$9, $C$13, 100%, $E$13) + CHOOSE(CONTROL!$C$28, 0.0311, 0)</f>
        <v>114.47699999999999</v>
      </c>
      <c r="D791" s="4">
        <f>100.6661 * CHOOSE(CONTROL!$C$9, $C$13, 100%, $E$13) + CHOOSE(CONTROL!$C$28, 0, 0)</f>
        <v>100.6661</v>
      </c>
      <c r="E791" s="4">
        <f>649.053207832664 * CHOOSE(CONTROL!$C$9, $C$13, 100%, $E$13) + CHOOSE(CONTROL!$C$28, 0, 0)</f>
        <v>649.05320783266404</v>
      </c>
    </row>
    <row r="792" spans="1:5" ht="15">
      <c r="A792" s="13">
        <v>65623</v>
      </c>
      <c r="B792" s="4">
        <f>117.5394 * CHOOSE(CONTROL!$C$9, $C$13, 100%, $E$13) + CHOOSE(CONTROL!$C$28, 0.0311, 0)</f>
        <v>117.5705</v>
      </c>
      <c r="C792" s="4">
        <f>117.1762 * CHOOSE(CONTROL!$C$9, $C$13, 100%, $E$13) + CHOOSE(CONTROL!$C$28, 0.0311, 0)</f>
        <v>117.20729999999999</v>
      </c>
      <c r="D792" s="4">
        <f>99.6068 * CHOOSE(CONTROL!$C$9, $C$13, 100%, $E$13) + CHOOSE(CONTROL!$C$28, 0, 0)</f>
        <v>99.606800000000007</v>
      </c>
      <c r="E792" s="4">
        <f>664.592900447811 * CHOOSE(CONTROL!$C$9, $C$13, 100%, $E$13) + CHOOSE(CONTROL!$C$28, 0, 0)</f>
        <v>664.59290044781096</v>
      </c>
    </row>
    <row r="793" spans="1:5" ht="15">
      <c r="A793" s="13">
        <v>65653</v>
      </c>
      <c r="B793" s="4">
        <f>112.8862 * CHOOSE(CONTROL!$C$9, $C$13, 100%, $E$13) + CHOOSE(CONTROL!$C$28, 0.0311, 0)</f>
        <v>112.9173</v>
      </c>
      <c r="C793" s="4">
        <f>112.5229 * CHOOSE(CONTROL!$C$9, $C$13, 100%, $E$13) + CHOOSE(CONTROL!$C$28, 0.0311, 0)</f>
        <v>112.554</v>
      </c>
      <c r="D793" s="4">
        <f>99.1063 * CHOOSE(CONTROL!$C$9, $C$13, 100%, $E$13) + CHOOSE(CONTROL!$C$28, 0, 0)</f>
        <v>99.106300000000005</v>
      </c>
      <c r="E793" s="4">
        <f>638.108308050567 * CHOOSE(CONTROL!$C$9, $C$13, 100%, $E$13) + CHOOSE(CONTROL!$C$28, 0, 0)</f>
        <v>638.10830805056696</v>
      </c>
    </row>
    <row r="794" spans="1:5" ht="15">
      <c r="A794" s="13">
        <v>65684</v>
      </c>
      <c r="B794" s="4">
        <f>109.1612 * CHOOSE(CONTROL!$C$9, $C$13, 100%, $E$13) + CHOOSE(CONTROL!$C$28, 0.0003, 0)</f>
        <v>109.16149999999999</v>
      </c>
      <c r="C794" s="4">
        <f>108.7979 * CHOOSE(CONTROL!$C$9, $C$13, 100%, $E$13) + CHOOSE(CONTROL!$C$28, 0.0003, 0)</f>
        <v>108.79819999999999</v>
      </c>
      <c r="D794" s="4">
        <f>97.7663 * CHOOSE(CONTROL!$C$9, $C$13, 100%, $E$13) + CHOOSE(CONTROL!$C$28, 0, 0)</f>
        <v>97.766300000000001</v>
      </c>
      <c r="E794" s="4">
        <f>616.906866963234 * CHOOSE(CONTROL!$C$9, $C$13, 100%, $E$13) + CHOOSE(CONTROL!$C$28, 0, 0)</f>
        <v>616.90686696323405</v>
      </c>
    </row>
    <row r="795" spans="1:5" ht="15">
      <c r="A795" s="13">
        <v>65714</v>
      </c>
      <c r="B795" s="4">
        <f>106.762 * CHOOSE(CONTROL!$C$9, $C$13, 100%, $E$13) + CHOOSE(CONTROL!$C$28, 0.0003, 0)</f>
        <v>106.7623</v>
      </c>
      <c r="C795" s="4">
        <f>106.3988 * CHOOSE(CONTROL!$C$9, $C$13, 100%, $E$13) + CHOOSE(CONTROL!$C$28, 0.0003, 0)</f>
        <v>106.39909999999999</v>
      </c>
      <c r="D795" s="4">
        <f>97.3056 * CHOOSE(CONTROL!$C$9, $C$13, 100%, $E$13) + CHOOSE(CONTROL!$C$28, 0, 0)</f>
        <v>97.305599999999998</v>
      </c>
      <c r="E795" s="4">
        <f>603.251555678495 * CHOOSE(CONTROL!$C$9, $C$13, 100%, $E$13) + CHOOSE(CONTROL!$C$28, 0, 0)</f>
        <v>603.25155567849504</v>
      </c>
    </row>
    <row r="796" spans="1:5" ht="15">
      <c r="A796" s="13">
        <v>65745</v>
      </c>
      <c r="B796" s="4">
        <f>105.1021 * CHOOSE(CONTROL!$C$9, $C$13, 100%, $E$13) + CHOOSE(CONTROL!$C$28, 0.0003, 0)</f>
        <v>105.10239999999999</v>
      </c>
      <c r="C796" s="4">
        <f>104.7388 * CHOOSE(CONTROL!$C$9, $C$13, 100%, $E$13) + CHOOSE(CONTROL!$C$28, 0.0003, 0)</f>
        <v>104.73909999999999</v>
      </c>
      <c r="D796" s="4">
        <f>93.9137 * CHOOSE(CONTROL!$C$9, $C$13, 100%, $E$13) + CHOOSE(CONTROL!$C$28, 0, 0)</f>
        <v>93.913700000000006</v>
      </c>
      <c r="E796" s="4">
        <f>593.803835583571 * CHOOSE(CONTROL!$C$9, $C$13, 100%, $E$13) + CHOOSE(CONTROL!$C$28, 0, 0)</f>
        <v>593.80383558357096</v>
      </c>
    </row>
    <row r="797" spans="1:5" ht="15">
      <c r="A797" s="13">
        <v>65776</v>
      </c>
      <c r="B797" s="4">
        <f>102.4051 * CHOOSE(CONTROL!$C$9, $C$13, 100%, $E$13) + CHOOSE(CONTROL!$C$28, 0.0003, 0)</f>
        <v>102.4054</v>
      </c>
      <c r="C797" s="4">
        <f>102.0418 * CHOOSE(CONTROL!$C$9, $C$13, 100%, $E$13) + CHOOSE(CONTROL!$C$28, 0.0003, 0)</f>
        <v>102.04209999999999</v>
      </c>
      <c r="D797" s="4">
        <f>90.7964 * CHOOSE(CONTROL!$C$9, $C$13, 100%, $E$13) + CHOOSE(CONTROL!$C$28, 0, 0)</f>
        <v>90.796400000000006</v>
      </c>
      <c r="E797" s="4">
        <f>576.775804385438 * CHOOSE(CONTROL!$C$9, $C$13, 100%, $E$13) + CHOOSE(CONTROL!$C$28, 0, 0)</f>
        <v>576.77580438543805</v>
      </c>
    </row>
    <row r="798" spans="1:5" ht="15">
      <c r="A798" s="13">
        <v>65805</v>
      </c>
      <c r="B798" s="4">
        <f>104.8182 * CHOOSE(CONTROL!$C$9, $C$13, 100%, $E$13) + CHOOSE(CONTROL!$C$28, 0.0003, 0)</f>
        <v>104.8185</v>
      </c>
      <c r="C798" s="4">
        <f>104.455 * CHOOSE(CONTROL!$C$9, $C$13, 100%, $E$13) + CHOOSE(CONTROL!$C$28, 0.0003, 0)</f>
        <v>104.45529999999999</v>
      </c>
      <c r="D798" s="4">
        <f>93.9356 * CHOOSE(CONTROL!$C$9, $C$13, 100%, $E$13) + CHOOSE(CONTROL!$C$28, 0, 0)</f>
        <v>93.935599999999994</v>
      </c>
      <c r="E798" s="4">
        <f>590.470735002761 * CHOOSE(CONTROL!$C$9, $C$13, 100%, $E$13) + CHOOSE(CONTROL!$C$28, 0, 0)</f>
        <v>590.47073500276099</v>
      </c>
    </row>
    <row r="799" spans="1:5" ht="15">
      <c r="A799" s="13">
        <v>65836</v>
      </c>
      <c r="B799" s="4">
        <f>111.1553 * CHOOSE(CONTROL!$C$9, $C$13, 100%, $E$13) + CHOOSE(CONTROL!$C$28, 0.0003, 0)</f>
        <v>111.15559999999999</v>
      </c>
      <c r="C799" s="4">
        <f>110.792 * CHOOSE(CONTROL!$C$9, $C$13, 100%, $E$13) + CHOOSE(CONTROL!$C$28, 0.0003, 0)</f>
        <v>110.7923</v>
      </c>
      <c r="D799" s="4">
        <f>98.8498 * CHOOSE(CONTROL!$C$9, $C$13, 100%, $E$13) + CHOOSE(CONTROL!$C$28, 0, 0)</f>
        <v>98.849800000000002</v>
      </c>
      <c r="E799" s="4">
        <f>626.434350596664 * CHOOSE(CONTROL!$C$9, $C$13, 100%, $E$13) + CHOOSE(CONTROL!$C$28, 0, 0)</f>
        <v>626.43435059666399</v>
      </c>
    </row>
    <row r="800" spans="1:5" ht="15">
      <c r="A800" s="13">
        <v>65866</v>
      </c>
      <c r="B800" s="4">
        <f>115.6578 * CHOOSE(CONTROL!$C$9, $C$13, 100%, $E$13) + CHOOSE(CONTROL!$C$28, 0.0003, 0)</f>
        <v>115.65809999999999</v>
      </c>
      <c r="C800" s="4">
        <f>115.2945 * CHOOSE(CONTROL!$C$9, $C$13, 100%, $E$13) + CHOOSE(CONTROL!$C$28, 0.0003, 0)</f>
        <v>115.2948</v>
      </c>
      <c r="D800" s="4">
        <f>101.6805 * CHOOSE(CONTROL!$C$9, $C$13, 100%, $E$13) + CHOOSE(CONTROL!$C$28, 0, 0)</f>
        <v>101.68049999999999</v>
      </c>
      <c r="E800" s="4">
        <f>651.986978754326 * CHOOSE(CONTROL!$C$9, $C$13, 100%, $E$13) + CHOOSE(CONTROL!$C$28, 0, 0)</f>
        <v>651.98697875432595</v>
      </c>
    </row>
    <row r="801" spans="1:5" ht="15">
      <c r="A801" s="13">
        <v>65897</v>
      </c>
      <c r="B801" s="4">
        <f>118.4087 * CHOOSE(CONTROL!$C$9, $C$13, 100%, $E$13) + CHOOSE(CONTROL!$C$28, 0.0311, 0)</f>
        <v>118.43979999999999</v>
      </c>
      <c r="C801" s="4">
        <f>118.0455 * CHOOSE(CONTROL!$C$9, $C$13, 100%, $E$13) + CHOOSE(CONTROL!$C$28, 0.0311, 0)</f>
        <v>118.0766</v>
      </c>
      <c r="D801" s="4">
        <f>100.5619 * CHOOSE(CONTROL!$C$9, $C$13, 100%, $E$13) + CHOOSE(CONTROL!$C$28, 0, 0)</f>
        <v>100.56189999999999</v>
      </c>
      <c r="E801" s="4">
        <f>667.599022147632 * CHOOSE(CONTROL!$C$9, $C$13, 100%, $E$13) + CHOOSE(CONTROL!$C$28, 0, 0)</f>
        <v>667.59902214763201</v>
      </c>
    </row>
    <row r="802" spans="1:5" ht="15">
      <c r="A802" s="13">
        <v>65927</v>
      </c>
      <c r="B802" s="4">
        <f>118.781 * CHOOSE(CONTROL!$C$9, $C$13, 100%, $E$13) + CHOOSE(CONTROL!$C$28, 0.0311, 0)</f>
        <v>118.8121</v>
      </c>
      <c r="C802" s="4">
        <f>118.4177 * CHOOSE(CONTROL!$C$9, $C$13, 100%, $E$13) + CHOOSE(CONTROL!$C$28, 0.0311, 0)</f>
        <v>118.44879999999999</v>
      </c>
      <c r="D802" s="4">
        <f>101.4729 * CHOOSE(CONTROL!$C$9, $C$13, 100%, $E$13) + CHOOSE(CONTROL!$C$28, 0, 0)</f>
        <v>101.4729</v>
      </c>
      <c r="E802" s="4">
        <f>669.711396410057 * CHOOSE(CONTROL!$C$9, $C$13, 100%, $E$13) + CHOOSE(CONTROL!$C$28, 0, 0)</f>
        <v>669.71139641005698</v>
      </c>
    </row>
    <row r="803" spans="1:5" ht="15">
      <c r="A803" s="13">
        <v>65958</v>
      </c>
      <c r="B803" s="4">
        <f>118.7434 * CHOOSE(CONTROL!$C$9, $C$13, 100%, $E$13) + CHOOSE(CONTROL!$C$28, 0.0311, 0)</f>
        <v>118.77449999999999</v>
      </c>
      <c r="C803" s="4">
        <f>118.3801 * CHOOSE(CONTROL!$C$9, $C$13, 100%, $E$13) + CHOOSE(CONTROL!$C$28, 0.0311, 0)</f>
        <v>118.41119999999999</v>
      </c>
      <c r="D803" s="4">
        <f>103.1167 * CHOOSE(CONTROL!$C$9, $C$13, 100%, $E$13) + CHOOSE(CONTROL!$C$28, 0, 0)</f>
        <v>103.11669999999999</v>
      </c>
      <c r="E803" s="4">
        <f>669.498383879393 * CHOOSE(CONTROL!$C$9, $C$13, 100%, $E$13) + CHOOSE(CONTROL!$C$28, 0, 0)</f>
        <v>669.49838387939303</v>
      </c>
    </row>
    <row r="804" spans="1:5" ht="15">
      <c r="A804" s="13">
        <v>65989</v>
      </c>
      <c r="B804" s="4">
        <f>121.5679 * CHOOSE(CONTROL!$C$9, $C$13, 100%, $E$13) + CHOOSE(CONTROL!$C$28, 0.0311, 0)</f>
        <v>121.59899999999999</v>
      </c>
      <c r="C804" s="4">
        <f>121.2046 * CHOOSE(CONTROL!$C$9, $C$13, 100%, $E$13) + CHOOSE(CONTROL!$C$28, 0.0311, 0)</f>
        <v>121.23569999999999</v>
      </c>
      <c r="D804" s="4">
        <f>102.0311 * CHOOSE(CONTROL!$C$9, $C$13, 100%, $E$13) + CHOOSE(CONTROL!$C$28, 0, 0)</f>
        <v>102.0311</v>
      </c>
      <c r="E804" s="4">
        <f>685.527576811917 * CHOOSE(CONTROL!$C$9, $C$13, 100%, $E$13) + CHOOSE(CONTROL!$C$28, 0, 0)</f>
        <v>685.52757681191702</v>
      </c>
    </row>
    <row r="805" spans="1:5" ht="15">
      <c r="A805" s="13">
        <v>66019</v>
      </c>
      <c r="B805" s="4">
        <f>116.7541 * CHOOSE(CONTROL!$C$9, $C$13, 100%, $E$13) + CHOOSE(CONTROL!$C$28, 0.0311, 0)</f>
        <v>116.78519999999999</v>
      </c>
      <c r="C805" s="4">
        <f>116.3908 * CHOOSE(CONTROL!$C$9, $C$13, 100%, $E$13) + CHOOSE(CONTROL!$C$28, 0.0311, 0)</f>
        <v>116.42189999999999</v>
      </c>
      <c r="D805" s="4">
        <f>101.5182 * CHOOSE(CONTROL!$C$9, $C$13, 100%, $E$13) + CHOOSE(CONTROL!$C$28, 0, 0)</f>
        <v>101.51819999999999</v>
      </c>
      <c r="E805" s="4">
        <f>658.20871975416 * CHOOSE(CONTROL!$C$9, $C$13, 100%, $E$13) + CHOOSE(CONTROL!$C$28, 0, 0)</f>
        <v>658.20871975416003</v>
      </c>
    </row>
    <row r="806" spans="1:5" ht="15">
      <c r="A806" s="13">
        <v>66050</v>
      </c>
      <c r="B806" s="4">
        <f>112.9006 * CHOOSE(CONTROL!$C$9, $C$13, 100%, $E$13) + CHOOSE(CONTROL!$C$28, 0.0003, 0)</f>
        <v>112.90089999999999</v>
      </c>
      <c r="C806" s="4">
        <f>112.5373 * CHOOSE(CONTROL!$C$9, $C$13, 100%, $E$13) + CHOOSE(CONTROL!$C$28, 0.0003, 0)</f>
        <v>112.5376</v>
      </c>
      <c r="D806" s="4">
        <f>100.1449 * CHOOSE(CONTROL!$C$9, $C$13, 100%, $E$13) + CHOOSE(CONTROL!$C$28, 0, 0)</f>
        <v>100.14490000000001</v>
      </c>
      <c r="E806" s="4">
        <f>636.339433272576 * CHOOSE(CONTROL!$C$9, $C$13, 100%, $E$13) + CHOOSE(CONTROL!$C$28, 0, 0)</f>
        <v>636.339433272576</v>
      </c>
    </row>
    <row r="807" spans="1:5" ht="15">
      <c r="A807" s="13">
        <v>66080</v>
      </c>
      <c r="B807" s="4">
        <f>110.4187 * CHOOSE(CONTROL!$C$9, $C$13, 100%, $E$13) + CHOOSE(CONTROL!$C$28, 0.0003, 0)</f>
        <v>110.419</v>
      </c>
      <c r="C807" s="4">
        <f>110.0554 * CHOOSE(CONTROL!$C$9, $C$13, 100%, $E$13) + CHOOSE(CONTROL!$C$28, 0.0003, 0)</f>
        <v>110.0557</v>
      </c>
      <c r="D807" s="4">
        <f>99.6728 * CHOOSE(CONTROL!$C$9, $C$13, 100%, $E$13) + CHOOSE(CONTROL!$C$28, 0, 0)</f>
        <v>99.672799999999995</v>
      </c>
      <c r="E807" s="4">
        <f>622.253979682367 * CHOOSE(CONTROL!$C$9, $C$13, 100%, $E$13) + CHOOSE(CONTROL!$C$28, 0, 0)</f>
        <v>622.253979682367</v>
      </c>
    </row>
    <row r="808" spans="1:5" ht="15">
      <c r="A808" s="13">
        <v>66111</v>
      </c>
      <c r="B808" s="4">
        <f>108.7015 * CHOOSE(CONTROL!$C$9, $C$13, 100%, $E$13) + CHOOSE(CONTROL!$C$28, 0.0003, 0)</f>
        <v>108.70179999999999</v>
      </c>
      <c r="C808" s="4">
        <f>108.3382 * CHOOSE(CONTROL!$C$9, $C$13, 100%, $E$13) + CHOOSE(CONTROL!$C$28, 0.0003, 0)</f>
        <v>108.3385</v>
      </c>
      <c r="D808" s="4">
        <f>96.1969 * CHOOSE(CONTROL!$C$9, $C$13, 100%, $E$13) + CHOOSE(CONTROL!$C$28, 0, 0)</f>
        <v>96.196899999999999</v>
      </c>
      <c r="E808" s="4">
        <f>612.508656404454 * CHOOSE(CONTROL!$C$9, $C$13, 100%, $E$13) + CHOOSE(CONTROL!$C$28, 0, 0)</f>
        <v>612.50865640445397</v>
      </c>
    </row>
    <row r="809" spans="1:5" ht="15">
      <c r="A809" s="13">
        <v>66142</v>
      </c>
      <c r="B809" s="4">
        <f>105.9114 * CHOOSE(CONTROL!$C$9, $C$13, 100%, $E$13) + CHOOSE(CONTROL!$C$28, 0.0003, 0)</f>
        <v>105.9117</v>
      </c>
      <c r="C809" s="4">
        <f>105.5481 * CHOOSE(CONTROL!$C$9, $C$13, 100%, $E$13) + CHOOSE(CONTROL!$C$28, 0.0003, 0)</f>
        <v>105.5484</v>
      </c>
      <c r="D809" s="4">
        <f>93.0022 * CHOOSE(CONTROL!$C$9, $C$13, 100%, $E$13) + CHOOSE(CONTROL!$C$28, 0, 0)</f>
        <v>93.002200000000002</v>
      </c>
      <c r="E809" s="4">
        <f>594.944242223579 * CHOOSE(CONTROL!$C$9, $C$13, 100%, $E$13) + CHOOSE(CONTROL!$C$28, 0, 0)</f>
        <v>594.94424222357895</v>
      </c>
    </row>
    <row r="810" spans="1:5" ht="15">
      <c r="A810" s="13">
        <v>66170</v>
      </c>
      <c r="B810" s="4">
        <f>108.4078 * CHOOSE(CONTROL!$C$9, $C$13, 100%, $E$13) + CHOOSE(CONTROL!$C$28, 0.0003, 0)</f>
        <v>108.40809999999999</v>
      </c>
      <c r="C810" s="4">
        <f>108.0445 * CHOOSE(CONTROL!$C$9, $C$13, 100%, $E$13) + CHOOSE(CONTROL!$C$28, 0.0003, 0)</f>
        <v>108.0448</v>
      </c>
      <c r="D810" s="4">
        <f>96.2193 * CHOOSE(CONTROL!$C$9, $C$13, 100%, $E$13) + CHOOSE(CONTROL!$C$28, 0, 0)</f>
        <v>96.219300000000004</v>
      </c>
      <c r="E810" s="4">
        <f>609.070563155348 * CHOOSE(CONTROL!$C$9, $C$13, 100%, $E$13) + CHOOSE(CONTROL!$C$28, 0, 0)</f>
        <v>609.07056315534805</v>
      </c>
    </row>
    <row r="811" spans="1:5" ht="15">
      <c r="A811" s="13">
        <v>66201</v>
      </c>
      <c r="B811" s="4">
        <f>114.9634 * CHOOSE(CONTROL!$C$9, $C$13, 100%, $E$13) + CHOOSE(CONTROL!$C$28, 0.0003, 0)</f>
        <v>114.96369999999999</v>
      </c>
      <c r="C811" s="4">
        <f>114.6002 * CHOOSE(CONTROL!$C$9, $C$13, 100%, $E$13) + CHOOSE(CONTROL!$C$28, 0.0003, 0)</f>
        <v>114.6005</v>
      </c>
      <c r="D811" s="4">
        <f>101.2553 * CHOOSE(CONTROL!$C$9, $C$13, 100%, $E$13) + CHOOSE(CONTROL!$C$28, 0, 0)</f>
        <v>101.25530000000001</v>
      </c>
      <c r="E811" s="4">
        <f>646.167032640459 * CHOOSE(CONTROL!$C$9, $C$13, 100%, $E$13) + CHOOSE(CONTROL!$C$28, 0, 0)</f>
        <v>646.16703264045896</v>
      </c>
    </row>
    <row r="812" spans="1:5" ht="15">
      <c r="A812" s="13">
        <v>66231</v>
      </c>
      <c r="B812" s="4">
        <f>119.6213 * CHOOSE(CONTROL!$C$9, $C$13, 100%, $E$13) + CHOOSE(CONTROL!$C$28, 0.0003, 0)</f>
        <v>119.6216</v>
      </c>
      <c r="C812" s="4">
        <f>119.258 * CHOOSE(CONTROL!$C$9, $C$13, 100%, $E$13) + CHOOSE(CONTROL!$C$28, 0.0003, 0)</f>
        <v>119.25829999999999</v>
      </c>
      <c r="D812" s="4">
        <f>104.1563 * CHOOSE(CONTROL!$C$9, $C$13, 100%, $E$13) + CHOOSE(CONTROL!$C$28, 0, 0)</f>
        <v>104.1563</v>
      </c>
      <c r="E812" s="4">
        <f>672.524568585087 * CHOOSE(CONTROL!$C$9, $C$13, 100%, $E$13) + CHOOSE(CONTROL!$C$28, 0, 0)</f>
        <v>672.52456858508697</v>
      </c>
    </row>
    <row r="813" spans="1:5" ht="15">
      <c r="A813" s="13">
        <v>66262</v>
      </c>
      <c r="B813" s="4">
        <f>122.4672 * CHOOSE(CONTROL!$C$9, $C$13, 100%, $E$13) + CHOOSE(CONTROL!$C$28, 0.0311, 0)</f>
        <v>122.4983</v>
      </c>
      <c r="C813" s="4">
        <f>122.1039 * CHOOSE(CONTROL!$C$9, $C$13, 100%, $E$13) + CHOOSE(CONTROL!$C$28, 0.0311, 0)</f>
        <v>122.13499999999999</v>
      </c>
      <c r="D813" s="4">
        <f>103.0099 * CHOOSE(CONTROL!$C$9, $C$13, 100%, $E$13) + CHOOSE(CONTROL!$C$28, 0, 0)</f>
        <v>103.0099</v>
      </c>
      <c r="E813" s="4">
        <f>688.628391345282 * CHOOSE(CONTROL!$C$9, $C$13, 100%, $E$13) + CHOOSE(CONTROL!$C$28, 0, 0)</f>
        <v>688.62839134528201</v>
      </c>
    </row>
    <row r="814" spans="1:5" ht="15">
      <c r="A814" s="13">
        <v>66292</v>
      </c>
      <c r="B814" s="4">
        <f>122.8522 * CHOOSE(CONTROL!$C$9, $C$13, 100%, $E$13) + CHOOSE(CONTROL!$C$28, 0.0311, 0)</f>
        <v>122.88329999999999</v>
      </c>
      <c r="C814" s="4">
        <f>122.4889 * CHOOSE(CONTROL!$C$9, $C$13, 100%, $E$13) + CHOOSE(CONTROL!$C$28, 0.0311, 0)</f>
        <v>122.52</v>
      </c>
      <c r="D814" s="4">
        <f>103.9435 * CHOOSE(CONTROL!$C$9, $C$13, 100%, $E$13) + CHOOSE(CONTROL!$C$28, 0, 0)</f>
        <v>103.9435</v>
      </c>
      <c r="E814" s="4">
        <f>690.807305396974 * CHOOSE(CONTROL!$C$9, $C$13, 100%, $E$13) + CHOOSE(CONTROL!$C$28, 0, 0)</f>
        <v>690.80730539697402</v>
      </c>
    </row>
    <row r="815" spans="1:5" ht="15">
      <c r="A815" s="13">
        <v>66323</v>
      </c>
      <c r="B815" s="4">
        <f>122.8134 * CHOOSE(CONTROL!$C$9, $C$13, 100%, $E$13) + CHOOSE(CONTROL!$C$28, 0.0311, 0)</f>
        <v>122.8445</v>
      </c>
      <c r="C815" s="4">
        <f>122.4501 * CHOOSE(CONTROL!$C$9, $C$13, 100%, $E$13) + CHOOSE(CONTROL!$C$28, 0.0311, 0)</f>
        <v>122.4812</v>
      </c>
      <c r="D815" s="4">
        <f>105.628 * CHOOSE(CONTROL!$C$9, $C$13, 100%, $E$13) + CHOOSE(CONTROL!$C$28, 0, 0)</f>
        <v>105.628</v>
      </c>
      <c r="E815" s="4">
        <f>690.587582971594 * CHOOSE(CONTROL!$C$9, $C$13, 100%, $E$13) + CHOOSE(CONTROL!$C$28, 0, 0)</f>
        <v>690.58758297159397</v>
      </c>
    </row>
    <row r="816" spans="1:5" ht="15">
      <c r="A816" s="13">
        <v>66354</v>
      </c>
      <c r="B816" s="4">
        <f>125.7353 * CHOOSE(CONTROL!$C$9, $C$13, 100%, $E$13) + CHOOSE(CONTROL!$C$28, 0.0311, 0)</f>
        <v>125.76639999999999</v>
      </c>
      <c r="C816" s="4">
        <f>125.372 * CHOOSE(CONTROL!$C$9, $C$13, 100%, $E$13) + CHOOSE(CONTROL!$C$28, 0.0311, 0)</f>
        <v>125.40309999999999</v>
      </c>
      <c r="D816" s="4">
        <f>104.5156 * CHOOSE(CONTROL!$C$9, $C$13, 100%, $E$13) + CHOOSE(CONTROL!$C$28, 0, 0)</f>
        <v>104.51560000000001</v>
      </c>
      <c r="E816" s="4">
        <f>707.121695481492 * CHOOSE(CONTROL!$C$9, $C$13, 100%, $E$13) + CHOOSE(CONTROL!$C$28, 0, 0)</f>
        <v>707.121695481492</v>
      </c>
    </row>
    <row r="817" spans="1:5" ht="15">
      <c r="A817" s="13">
        <v>66384</v>
      </c>
      <c r="B817" s="4">
        <f>120.7554 * CHOOSE(CONTROL!$C$9, $C$13, 100%, $E$13) + CHOOSE(CONTROL!$C$28, 0.0311, 0)</f>
        <v>120.78649999999999</v>
      </c>
      <c r="C817" s="4">
        <f>120.3922 * CHOOSE(CONTROL!$C$9, $C$13, 100%, $E$13) + CHOOSE(CONTROL!$C$28, 0.0311, 0)</f>
        <v>120.4233</v>
      </c>
      <c r="D817" s="4">
        <f>103.99 * CHOOSE(CONTROL!$C$9, $C$13, 100%, $E$13) + CHOOSE(CONTROL!$C$28, 0, 0)</f>
        <v>103.99</v>
      </c>
      <c r="E817" s="4">
        <f>678.942294426416 * CHOOSE(CONTROL!$C$9, $C$13, 100%, $E$13) + CHOOSE(CONTROL!$C$28, 0, 0)</f>
        <v>678.94229442641597</v>
      </c>
    </row>
    <row r="818" spans="1:5" ht="15">
      <c r="A818" s="13">
        <v>66415</v>
      </c>
      <c r="B818" s="4">
        <f>116.769 * CHOOSE(CONTROL!$C$9, $C$13, 100%, $E$13) + CHOOSE(CONTROL!$C$28, 0.0003, 0)</f>
        <v>116.7693</v>
      </c>
      <c r="C818" s="4">
        <f>116.4057 * CHOOSE(CONTROL!$C$9, $C$13, 100%, $E$13) + CHOOSE(CONTROL!$C$28, 0.0003, 0)</f>
        <v>116.40599999999999</v>
      </c>
      <c r="D818" s="4">
        <f>102.5826 * CHOOSE(CONTROL!$C$9, $C$13, 100%, $E$13) + CHOOSE(CONTROL!$C$28, 0, 0)</f>
        <v>102.5826</v>
      </c>
      <c r="E818" s="4">
        <f>656.384125420662 * CHOOSE(CONTROL!$C$9, $C$13, 100%, $E$13) + CHOOSE(CONTROL!$C$28, 0, 0)</f>
        <v>656.38412542066203</v>
      </c>
    </row>
    <row r="819" spans="1:5" ht="15">
      <c r="A819" s="13">
        <v>66445</v>
      </c>
      <c r="B819" s="4">
        <f>114.2014 * CHOOSE(CONTROL!$C$9, $C$13, 100%, $E$13) + CHOOSE(CONTROL!$C$28, 0.0003, 0)</f>
        <v>114.2017</v>
      </c>
      <c r="C819" s="4">
        <f>113.8381 * CHOOSE(CONTROL!$C$9, $C$13, 100%, $E$13) + CHOOSE(CONTROL!$C$28, 0.0003, 0)</f>
        <v>113.83839999999999</v>
      </c>
      <c r="D819" s="4">
        <f>102.0988 * CHOOSE(CONTROL!$C$9, $C$13, 100%, $E$13) + CHOOSE(CONTROL!$C$28, 0, 0)</f>
        <v>102.0988</v>
      </c>
      <c r="E819" s="4">
        <f>641.854980042362 * CHOOSE(CONTROL!$C$9, $C$13, 100%, $E$13) + CHOOSE(CONTROL!$C$28, 0, 0)</f>
        <v>641.85498004236194</v>
      </c>
    </row>
    <row r="820" spans="1:5" ht="15">
      <c r="A820" s="13">
        <v>66476</v>
      </c>
      <c r="B820" s="4">
        <f>112.425 * CHOOSE(CONTROL!$C$9, $C$13, 100%, $E$13) + CHOOSE(CONTROL!$C$28, 0.0003, 0)</f>
        <v>112.42529999999999</v>
      </c>
      <c r="C820" s="4">
        <f>112.0617 * CHOOSE(CONTROL!$C$9, $C$13, 100%, $E$13) + CHOOSE(CONTROL!$C$28, 0.0003, 0)</f>
        <v>112.062</v>
      </c>
      <c r="D820" s="4">
        <f>98.5366 * CHOOSE(CONTROL!$C$9, $C$13, 100%, $E$13) + CHOOSE(CONTROL!$C$28, 0, 0)</f>
        <v>98.536600000000007</v>
      </c>
      <c r="E820" s="4">
        <f>631.802679081194 * CHOOSE(CONTROL!$C$9, $C$13, 100%, $E$13) + CHOOSE(CONTROL!$C$28, 0, 0)</f>
        <v>631.80267908119401</v>
      </c>
    </row>
    <row r="821" spans="1:5" ht="15">
      <c r="A821" s="13">
        <v>66507</v>
      </c>
      <c r="B821" s="4">
        <f>109.5387 * CHOOSE(CONTROL!$C$9, $C$13, 100%, $E$13) + CHOOSE(CONTROL!$C$28, 0.0003, 0)</f>
        <v>109.539</v>
      </c>
      <c r="C821" s="4">
        <f>109.1754 * CHOOSE(CONTROL!$C$9, $C$13, 100%, $E$13) + CHOOSE(CONTROL!$C$28, 0.0003, 0)</f>
        <v>109.17569999999999</v>
      </c>
      <c r="D821" s="4">
        <f>95.2627 * CHOOSE(CONTROL!$C$9, $C$13, 100%, $E$13) + CHOOSE(CONTROL!$C$28, 0, 0)</f>
        <v>95.262699999999995</v>
      </c>
      <c r="E821" s="4">
        <f>613.684985853622 * CHOOSE(CONTROL!$C$9, $C$13, 100%, $E$13) + CHOOSE(CONTROL!$C$28, 0, 0)</f>
        <v>613.68498585362204</v>
      </c>
    </row>
    <row r="822" spans="1:5" ht="15">
      <c r="A822" s="13">
        <v>66535</v>
      </c>
      <c r="B822" s="4">
        <f>112.1212 * CHOOSE(CONTROL!$C$9, $C$13, 100%, $E$13) + CHOOSE(CONTROL!$C$28, 0.0003, 0)</f>
        <v>112.1215</v>
      </c>
      <c r="C822" s="4">
        <f>111.7579 * CHOOSE(CONTROL!$C$9, $C$13, 100%, $E$13) + CHOOSE(CONTROL!$C$28, 0.0003, 0)</f>
        <v>111.7582</v>
      </c>
      <c r="D822" s="4">
        <f>98.5596 * CHOOSE(CONTROL!$C$9, $C$13, 100%, $E$13) + CHOOSE(CONTROL!$C$28, 0, 0)</f>
        <v>98.559600000000003</v>
      </c>
      <c r="E822" s="4">
        <f>628.256285894741 * CHOOSE(CONTROL!$C$9, $C$13, 100%, $E$13) + CHOOSE(CONTROL!$C$28, 0, 0)</f>
        <v>628.25628589474104</v>
      </c>
    </row>
    <row r="823" spans="1:5" ht="15">
      <c r="A823" s="13">
        <v>66566</v>
      </c>
      <c r="B823" s="4">
        <f>118.903 * CHOOSE(CONTROL!$C$9, $C$13, 100%, $E$13) + CHOOSE(CONTROL!$C$28, 0.0003, 0)</f>
        <v>118.9033</v>
      </c>
      <c r="C823" s="4">
        <f>118.5397 * CHOOSE(CONTROL!$C$9, $C$13, 100%, $E$13) + CHOOSE(CONTROL!$C$28, 0.0003, 0)</f>
        <v>118.53999999999999</v>
      </c>
      <c r="D823" s="4">
        <f>103.7205 * CHOOSE(CONTROL!$C$9, $C$13, 100%, $E$13) + CHOOSE(CONTROL!$C$28, 0, 0)</f>
        <v>103.7205</v>
      </c>
      <c r="E823" s="4">
        <f>666.521294168633 * CHOOSE(CONTROL!$C$9, $C$13, 100%, $E$13) + CHOOSE(CONTROL!$C$28, 0, 0)</f>
        <v>666.52129416863295</v>
      </c>
    </row>
    <row r="824" spans="1:5" ht="15">
      <c r="A824" s="13">
        <v>66596</v>
      </c>
      <c r="B824" s="4">
        <f>123.7216 * CHOOSE(CONTROL!$C$9, $C$13, 100%, $E$13) + CHOOSE(CONTROL!$C$28, 0.0003, 0)</f>
        <v>123.72189999999999</v>
      </c>
      <c r="C824" s="4">
        <f>123.3583 * CHOOSE(CONTROL!$C$9, $C$13, 100%, $E$13) + CHOOSE(CONTROL!$C$28, 0.0003, 0)</f>
        <v>123.3586</v>
      </c>
      <c r="D824" s="4">
        <f>106.6934 * CHOOSE(CONTROL!$C$9, $C$13, 100%, $E$13) + CHOOSE(CONTROL!$C$28, 0, 0)</f>
        <v>106.6934</v>
      </c>
      <c r="E824" s="4">
        <f>693.709092495518 * CHOOSE(CONTROL!$C$9, $C$13, 100%, $E$13) + CHOOSE(CONTROL!$C$28, 0, 0)</f>
        <v>693.70909249551801</v>
      </c>
    </row>
    <row r="825" spans="1:5" ht="15">
      <c r="A825" s="13">
        <v>66627</v>
      </c>
      <c r="B825" s="4">
        <f>126.6656 * CHOOSE(CONTROL!$C$9, $C$13, 100%, $E$13) + CHOOSE(CONTROL!$C$28, 0.0311, 0)</f>
        <v>126.69669999999999</v>
      </c>
      <c r="C825" s="4">
        <f>126.3023 * CHOOSE(CONTROL!$C$9, $C$13, 100%, $E$13) + CHOOSE(CONTROL!$C$28, 0.0311, 0)</f>
        <v>126.3334</v>
      </c>
      <c r="D825" s="4">
        <f>105.5187 * CHOOSE(CONTROL!$C$9, $C$13, 100%, $E$13) + CHOOSE(CONTROL!$C$28, 0, 0)</f>
        <v>105.5187</v>
      </c>
      <c r="E825" s="4">
        <f>710.320185672659 * CHOOSE(CONTROL!$C$9, $C$13, 100%, $E$13) + CHOOSE(CONTROL!$C$28, 0, 0)</f>
        <v>710.32018567265902</v>
      </c>
    </row>
    <row r="826" spans="1:5" ht="15">
      <c r="A826" s="13">
        <v>66657</v>
      </c>
      <c r="B826" s="4">
        <f>127.0639 * CHOOSE(CONTROL!$C$9, $C$13, 100%, $E$13) + CHOOSE(CONTROL!$C$28, 0.0311, 0)</f>
        <v>127.095</v>
      </c>
      <c r="C826" s="4">
        <f>126.7007 * CHOOSE(CONTROL!$C$9, $C$13, 100%, $E$13) + CHOOSE(CONTROL!$C$28, 0.0311, 0)</f>
        <v>126.73179999999999</v>
      </c>
      <c r="D826" s="4">
        <f>106.4754 * CHOOSE(CONTROL!$C$9, $C$13, 100%, $E$13) + CHOOSE(CONTROL!$C$28, 0, 0)</f>
        <v>106.47539999999999</v>
      </c>
      <c r="E826" s="4">
        <f>712.567735516979 * CHOOSE(CONTROL!$C$9, $C$13, 100%, $E$13) + CHOOSE(CONTROL!$C$28, 0, 0)</f>
        <v>712.56773551697904</v>
      </c>
    </row>
    <row r="827" spans="1:5" ht="15">
      <c r="A827" s="13">
        <v>66688</v>
      </c>
      <c r="B827" s="4">
        <f>127.0238 * CHOOSE(CONTROL!$C$9, $C$13, 100%, $E$13) + CHOOSE(CONTROL!$C$28, 0.0311, 0)</f>
        <v>127.05489999999999</v>
      </c>
      <c r="C827" s="4">
        <f>126.6605 * CHOOSE(CONTROL!$C$9, $C$13, 100%, $E$13) + CHOOSE(CONTROL!$C$28, 0.0311, 0)</f>
        <v>126.69159999999999</v>
      </c>
      <c r="D827" s="4">
        <f>108.2017 * CHOOSE(CONTROL!$C$9, $C$13, 100%, $E$13) + CHOOSE(CONTROL!$C$28, 0, 0)</f>
        <v>108.2017</v>
      </c>
      <c r="E827" s="4">
        <f>712.341091835199 * CHOOSE(CONTROL!$C$9, $C$13, 100%, $E$13) + CHOOSE(CONTROL!$C$28, 0, 0)</f>
        <v>712.34109183519899</v>
      </c>
    </row>
    <row r="828" spans="1:5" ht="15">
      <c r="A828" s="13">
        <v>66719</v>
      </c>
      <c r="B828" s="4">
        <f>130.0465 * CHOOSE(CONTROL!$C$9, $C$13, 100%, $E$13) + CHOOSE(CONTROL!$C$28, 0.0311, 0)</f>
        <v>130.07760000000002</v>
      </c>
      <c r="C828" s="4">
        <f>129.6832 * CHOOSE(CONTROL!$C$9, $C$13, 100%, $E$13) + CHOOSE(CONTROL!$C$28, 0.0311, 0)</f>
        <v>129.71430000000001</v>
      </c>
      <c r="D828" s="4">
        <f>107.0616 * CHOOSE(CONTROL!$C$9, $C$13, 100%, $E$13) + CHOOSE(CONTROL!$C$28, 0, 0)</f>
        <v>107.0616</v>
      </c>
      <c r="E828" s="4">
        <f>729.39602888916 * CHOOSE(CONTROL!$C$9, $C$13, 100%, $E$13) + CHOOSE(CONTROL!$C$28, 0, 0)</f>
        <v>729.39602888915999</v>
      </c>
    </row>
    <row r="829" spans="1:5" ht="15">
      <c r="A829" s="13">
        <v>66749</v>
      </c>
      <c r="B829" s="4">
        <f>124.8948 * CHOOSE(CONTROL!$C$9, $C$13, 100%, $E$13) + CHOOSE(CONTROL!$C$28, 0.0311, 0)</f>
        <v>124.9259</v>
      </c>
      <c r="C829" s="4">
        <f>124.5315 * CHOOSE(CONTROL!$C$9, $C$13, 100%, $E$13) + CHOOSE(CONTROL!$C$28, 0.0311, 0)</f>
        <v>124.56259999999999</v>
      </c>
      <c r="D829" s="4">
        <f>106.523 * CHOOSE(CONTROL!$C$9, $C$13, 100%, $E$13) + CHOOSE(CONTROL!$C$28, 0, 0)</f>
        <v>106.523</v>
      </c>
      <c r="E829" s="4">
        <f>700.328976700848 * CHOOSE(CONTROL!$C$9, $C$13, 100%, $E$13) + CHOOSE(CONTROL!$C$28, 0, 0)</f>
        <v>700.32897670084799</v>
      </c>
    </row>
    <row r="830" spans="1:5" ht="15">
      <c r="A830" s="13">
        <v>66780</v>
      </c>
      <c r="B830" s="4">
        <f>120.7708 * CHOOSE(CONTROL!$C$9, $C$13, 100%, $E$13) + CHOOSE(CONTROL!$C$28, 0.0003, 0)</f>
        <v>120.77109999999999</v>
      </c>
      <c r="C830" s="4">
        <f>120.4076 * CHOOSE(CONTROL!$C$9, $C$13, 100%, $E$13) + CHOOSE(CONTROL!$C$28, 0.0003, 0)</f>
        <v>120.4079</v>
      </c>
      <c r="D830" s="4">
        <f>105.0807 * CHOOSE(CONTROL!$C$9, $C$13, 100%, $E$13) + CHOOSE(CONTROL!$C$28, 0, 0)</f>
        <v>105.08069999999999</v>
      </c>
      <c r="E830" s="4">
        <f>677.060225371413 * CHOOSE(CONTROL!$C$9, $C$13, 100%, $E$13) + CHOOSE(CONTROL!$C$28, 0, 0)</f>
        <v>677.06022537141303</v>
      </c>
    </row>
    <row r="831" spans="1:5" ht="15">
      <c r="A831" s="13">
        <v>66810</v>
      </c>
      <c r="B831" s="4">
        <f>118.1147 * CHOOSE(CONTROL!$C$9, $C$13, 100%, $E$13) + CHOOSE(CONTROL!$C$28, 0.0003, 0)</f>
        <v>118.11499999999999</v>
      </c>
      <c r="C831" s="4">
        <f>117.7514 * CHOOSE(CONTROL!$C$9, $C$13, 100%, $E$13) + CHOOSE(CONTROL!$C$28, 0.0003, 0)</f>
        <v>117.7517</v>
      </c>
      <c r="D831" s="4">
        <f>104.5849 * CHOOSE(CONTROL!$C$9, $C$13, 100%, $E$13) + CHOOSE(CONTROL!$C$28, 0, 0)</f>
        <v>104.5849</v>
      </c>
      <c r="E831" s="4">
        <f>662.073411913696 * CHOOSE(CONTROL!$C$9, $C$13, 100%, $E$13) + CHOOSE(CONTROL!$C$28, 0, 0)</f>
        <v>662.07341191369596</v>
      </c>
    </row>
    <row r="832" spans="1:5" ht="15">
      <c r="A832" s="13">
        <v>66841</v>
      </c>
      <c r="B832" s="4">
        <f>116.277 * CHOOSE(CONTROL!$C$9, $C$13, 100%, $E$13) + CHOOSE(CONTROL!$C$28, 0.0003, 0)</f>
        <v>116.2773</v>
      </c>
      <c r="C832" s="4">
        <f>115.9137 * CHOOSE(CONTROL!$C$9, $C$13, 100%, $E$13) + CHOOSE(CONTROL!$C$28, 0.0003, 0)</f>
        <v>115.914</v>
      </c>
      <c r="D832" s="4">
        <f>100.9344 * CHOOSE(CONTROL!$C$9, $C$13, 100%, $E$13) + CHOOSE(CONTROL!$C$28, 0, 0)</f>
        <v>100.9344</v>
      </c>
      <c r="E832" s="4">
        <f>651.704463472252 * CHOOSE(CONTROL!$C$9, $C$13, 100%, $E$13) + CHOOSE(CONTROL!$C$28, 0, 0)</f>
        <v>651.70446347225197</v>
      </c>
    </row>
    <row r="833" spans="1:5" ht="15">
      <c r="A833" s="13">
        <v>66872</v>
      </c>
      <c r="B833" s="4">
        <f>113.2911 * CHOOSE(CONTROL!$C$9, $C$13, 100%, $E$13) + CHOOSE(CONTROL!$C$28, 0.0003, 0)</f>
        <v>113.2914</v>
      </c>
      <c r="C833" s="4">
        <f>112.9278 * CHOOSE(CONTROL!$C$9, $C$13, 100%, $E$13) + CHOOSE(CONTROL!$C$28, 0.0003, 0)</f>
        <v>112.9281</v>
      </c>
      <c r="D833" s="4">
        <f>97.5793 * CHOOSE(CONTROL!$C$9, $C$13, 100%, $E$13) + CHOOSE(CONTROL!$C$28, 0, 0)</f>
        <v>97.579300000000003</v>
      </c>
      <c r="E833" s="4">
        <f>633.016062908011 * CHOOSE(CONTROL!$C$9, $C$13, 100%, $E$13) + CHOOSE(CONTROL!$C$28, 0, 0)</f>
        <v>633.01606290801101</v>
      </c>
    </row>
    <row r="834" spans="1:5" ht="15">
      <c r="A834" s="13">
        <v>66900</v>
      </c>
      <c r="B834" s="4">
        <f>115.9627 * CHOOSE(CONTROL!$C$9, $C$13, 100%, $E$13) + CHOOSE(CONTROL!$C$28, 0.0003, 0)</f>
        <v>115.96299999999999</v>
      </c>
      <c r="C834" s="4">
        <f>115.5994 * CHOOSE(CONTROL!$C$9, $C$13, 100%, $E$13) + CHOOSE(CONTROL!$C$28, 0.0003, 0)</f>
        <v>115.5997</v>
      </c>
      <c r="D834" s="4">
        <f>100.9579 * CHOOSE(CONTROL!$C$9, $C$13, 100%, $E$13) + CHOOSE(CONTROL!$C$28, 0, 0)</f>
        <v>100.9579</v>
      </c>
      <c r="E834" s="4">
        <f>648.046358900426 * CHOOSE(CONTROL!$C$9, $C$13, 100%, $E$13) + CHOOSE(CONTROL!$C$28, 0, 0)</f>
        <v>648.04635890042596</v>
      </c>
    </row>
    <row r="835" spans="1:5" ht="15">
      <c r="A835" s="13">
        <v>66931</v>
      </c>
      <c r="B835" s="4">
        <f>122.9785 * CHOOSE(CONTROL!$C$9, $C$13, 100%, $E$13) + CHOOSE(CONTROL!$C$28, 0.0003, 0)</f>
        <v>122.97879999999999</v>
      </c>
      <c r="C835" s="4">
        <f>122.6152 * CHOOSE(CONTROL!$C$9, $C$13, 100%, $E$13) + CHOOSE(CONTROL!$C$28, 0.0003, 0)</f>
        <v>122.6155</v>
      </c>
      <c r="D835" s="4">
        <f>106.2469 * CHOOSE(CONTROL!$C$9, $C$13, 100%, $E$13) + CHOOSE(CONTROL!$C$28, 0, 0)</f>
        <v>106.2469</v>
      </c>
      <c r="E835" s="4">
        <f>687.516714934945 * CHOOSE(CONTROL!$C$9, $C$13, 100%, $E$13) + CHOOSE(CONTROL!$C$28, 0, 0)</f>
        <v>687.51671493494496</v>
      </c>
    </row>
    <row r="836" spans="1:5" ht="15">
      <c r="A836" s="13">
        <v>66961</v>
      </c>
      <c r="B836" s="4">
        <f>127.9633 * CHOOSE(CONTROL!$C$9, $C$13, 100%, $E$13) + CHOOSE(CONTROL!$C$28, 0.0003, 0)</f>
        <v>127.9636</v>
      </c>
      <c r="C836" s="4">
        <f>127.6 * CHOOSE(CONTROL!$C$9, $C$13, 100%, $E$13) + CHOOSE(CONTROL!$C$28, 0.0003, 0)</f>
        <v>127.60029999999999</v>
      </c>
      <c r="D836" s="4">
        <f>109.2935 * CHOOSE(CONTROL!$C$9, $C$13, 100%, $E$13) + CHOOSE(CONTROL!$C$28, 0, 0)</f>
        <v>109.29349999999999</v>
      </c>
      <c r="E836" s="4">
        <f>715.560928909126 * CHOOSE(CONTROL!$C$9, $C$13, 100%, $E$13) + CHOOSE(CONTROL!$C$28, 0, 0)</f>
        <v>715.56092890912601</v>
      </c>
    </row>
    <row r="837" spans="1:5" ht="15">
      <c r="A837" s="13">
        <v>66992</v>
      </c>
      <c r="B837" s="4">
        <f>131.0089 * CHOOSE(CONTROL!$C$9, $C$13, 100%, $E$13) + CHOOSE(CONTROL!$C$28, 0.0311, 0)</f>
        <v>131.04000000000002</v>
      </c>
      <c r="C837" s="4">
        <f>130.6456 * CHOOSE(CONTROL!$C$9, $C$13, 100%, $E$13) + CHOOSE(CONTROL!$C$28, 0.0311, 0)</f>
        <v>130.67670000000001</v>
      </c>
      <c r="D837" s="4">
        <f>108.0896 * CHOOSE(CONTROL!$C$9, $C$13, 100%, $E$13) + CHOOSE(CONTROL!$C$28, 0, 0)</f>
        <v>108.0896</v>
      </c>
      <c r="E837" s="4">
        <f>732.695271521348 * CHOOSE(CONTROL!$C$9, $C$13, 100%, $E$13) + CHOOSE(CONTROL!$C$28, 0, 0)</f>
        <v>732.69527152134799</v>
      </c>
    </row>
    <row r="838" spans="1:5" ht="15">
      <c r="A838" s="13">
        <v>67022</v>
      </c>
      <c r="B838" s="4">
        <f>131.421 * CHOOSE(CONTROL!$C$9, $C$13, 100%, $E$13) + CHOOSE(CONTROL!$C$28, 0.0311, 0)</f>
        <v>131.4521</v>
      </c>
      <c r="C838" s="4">
        <f>131.0577 * CHOOSE(CONTROL!$C$9, $C$13, 100%, $E$13) + CHOOSE(CONTROL!$C$28, 0.0311, 0)</f>
        <v>131.08880000000002</v>
      </c>
      <c r="D838" s="4">
        <f>109.0701 * CHOOSE(CONTROL!$C$9, $C$13, 100%, $E$13) + CHOOSE(CONTROL!$C$28, 0, 0)</f>
        <v>109.0701</v>
      </c>
      <c r="E838" s="4">
        <f>735.013619185764 * CHOOSE(CONTROL!$C$9, $C$13, 100%, $E$13) + CHOOSE(CONTROL!$C$28, 0, 0)</f>
        <v>735.01361918576401</v>
      </c>
    </row>
    <row r="839" spans="1:5" ht="15">
      <c r="A839" s="13">
        <v>67053</v>
      </c>
      <c r="B839" s="4">
        <f>131.3794 * CHOOSE(CONTROL!$C$9, $C$13, 100%, $E$13) + CHOOSE(CONTROL!$C$28, 0.0311, 0)</f>
        <v>131.41050000000001</v>
      </c>
      <c r="C839" s="4">
        <f>131.0161 * CHOOSE(CONTROL!$C$9, $C$13, 100%, $E$13) + CHOOSE(CONTROL!$C$28, 0.0311, 0)</f>
        <v>131.0472</v>
      </c>
      <c r="D839" s="4">
        <f>110.8392 * CHOOSE(CONTROL!$C$9, $C$13, 100%, $E$13) + CHOOSE(CONTROL!$C$28, 0, 0)</f>
        <v>110.83920000000001</v>
      </c>
      <c r="E839" s="4">
        <f>734.779836228008 * CHOOSE(CONTROL!$C$9, $C$13, 100%, $E$13) + CHOOSE(CONTROL!$C$28, 0, 0)</f>
        <v>734.77983622800798</v>
      </c>
    </row>
    <row r="840" spans="1:5" ht="15">
      <c r="A840" s="13">
        <v>67084</v>
      </c>
      <c r="B840" s="4">
        <f>134.5064 * CHOOSE(CONTROL!$C$9, $C$13, 100%, $E$13) + CHOOSE(CONTROL!$C$28, 0.0311, 0)</f>
        <v>134.53750000000002</v>
      </c>
      <c r="C840" s="4">
        <f>134.1431 * CHOOSE(CONTROL!$C$9, $C$13, 100%, $E$13) + CHOOSE(CONTROL!$C$28, 0.0311, 0)</f>
        <v>134.17420000000001</v>
      </c>
      <c r="D840" s="4">
        <f>109.6708 * CHOOSE(CONTROL!$C$9, $C$13, 100%, $E$13) + CHOOSE(CONTROL!$C$28, 0, 0)</f>
        <v>109.6708</v>
      </c>
      <c r="E840" s="4">
        <f>752.372003799168 * CHOOSE(CONTROL!$C$9, $C$13, 100%, $E$13) + CHOOSE(CONTROL!$C$28, 0, 0)</f>
        <v>752.37200379916806</v>
      </c>
    </row>
    <row r="841" spans="1:5" ht="15">
      <c r="A841" s="13">
        <v>67114</v>
      </c>
      <c r="B841" s="4">
        <f>129.177 * CHOOSE(CONTROL!$C$9, $C$13, 100%, $E$13) + CHOOSE(CONTROL!$C$28, 0.0311, 0)</f>
        <v>129.2081</v>
      </c>
      <c r="C841" s="4">
        <f>128.8137 * CHOOSE(CONTROL!$C$9, $C$13, 100%, $E$13) + CHOOSE(CONTROL!$C$28, 0.0311, 0)</f>
        <v>128.84480000000002</v>
      </c>
      <c r="D841" s="4">
        <f>109.1188 * CHOOSE(CONTROL!$C$9, $C$13, 100%, $E$13) + CHOOSE(CONTROL!$C$28, 0, 0)</f>
        <v>109.11879999999999</v>
      </c>
      <c r="E841" s="4">
        <f>722.389339466925 * CHOOSE(CONTROL!$C$9, $C$13, 100%, $E$13) + CHOOSE(CONTROL!$C$28, 0, 0)</f>
        <v>722.38933946692498</v>
      </c>
    </row>
    <row r="842" spans="1:5" ht="15">
      <c r="A842" s="13">
        <v>67145</v>
      </c>
      <c r="B842" s="4">
        <f>124.9107 * CHOOSE(CONTROL!$C$9, $C$13, 100%, $E$13) + CHOOSE(CONTROL!$C$28, 0.0003, 0)</f>
        <v>124.911</v>
      </c>
      <c r="C842" s="4">
        <f>124.5475 * CHOOSE(CONTROL!$C$9, $C$13, 100%, $E$13) + CHOOSE(CONTROL!$C$28, 0.0003, 0)</f>
        <v>124.5478</v>
      </c>
      <c r="D842" s="4">
        <f>107.6408 * CHOOSE(CONTROL!$C$9, $C$13, 100%, $E$13) + CHOOSE(CONTROL!$C$28, 0, 0)</f>
        <v>107.6408</v>
      </c>
      <c r="E842" s="4">
        <f>698.387622470612 * CHOOSE(CONTROL!$C$9, $C$13, 100%, $E$13) + CHOOSE(CONTROL!$C$28, 0, 0)</f>
        <v>698.38762247061197</v>
      </c>
    </row>
    <row r="843" spans="1:5" ht="15">
      <c r="A843" s="13">
        <v>67175</v>
      </c>
      <c r="B843" s="4">
        <f>122.163 * CHOOSE(CONTROL!$C$9, $C$13, 100%, $E$13) + CHOOSE(CONTROL!$C$28, 0.0003, 0)</f>
        <v>122.16329999999999</v>
      </c>
      <c r="C843" s="4">
        <f>121.7997 * CHOOSE(CONTROL!$C$9, $C$13, 100%, $E$13) + CHOOSE(CONTROL!$C$28, 0.0003, 0)</f>
        <v>121.8</v>
      </c>
      <c r="D843" s="4">
        <f>107.1327 * CHOOSE(CONTROL!$C$9, $C$13, 100%, $E$13) + CHOOSE(CONTROL!$C$28, 0, 0)</f>
        <v>107.1327</v>
      </c>
      <c r="E843" s="4">
        <f>682.928724388978 * CHOOSE(CONTROL!$C$9, $C$13, 100%, $E$13) + CHOOSE(CONTROL!$C$28, 0, 0)</f>
        <v>682.92872438897803</v>
      </c>
    </row>
    <row r="844" spans="1:5" ht="15">
      <c r="A844" s="13">
        <v>67206</v>
      </c>
      <c r="B844" s="4">
        <f>120.2618 * CHOOSE(CONTROL!$C$9, $C$13, 100%, $E$13) + CHOOSE(CONTROL!$C$28, 0.0003, 0)</f>
        <v>120.26209999999999</v>
      </c>
      <c r="C844" s="4">
        <f>119.8986 * CHOOSE(CONTROL!$C$9, $C$13, 100%, $E$13) + CHOOSE(CONTROL!$C$28, 0.0003, 0)</f>
        <v>119.8989</v>
      </c>
      <c r="D844" s="4">
        <f>103.3917 * CHOOSE(CONTROL!$C$9, $C$13, 100%, $E$13) + CHOOSE(CONTROL!$C$28, 0, 0)</f>
        <v>103.3917</v>
      </c>
      <c r="E844" s="4">
        <f>672.233154071628 * CHOOSE(CONTROL!$C$9, $C$13, 100%, $E$13) + CHOOSE(CONTROL!$C$28, 0, 0)</f>
        <v>672.23315407162795</v>
      </c>
    </row>
    <row r="845" spans="1:5" ht="15">
      <c r="A845" s="13">
        <v>67237</v>
      </c>
      <c r="B845" s="4">
        <f>117.1729 * CHOOSE(CONTROL!$C$9, $C$13, 100%, $E$13) + CHOOSE(CONTROL!$C$28, 0.0003, 0)</f>
        <v>117.17319999999999</v>
      </c>
      <c r="C845" s="4">
        <f>116.8096 * CHOOSE(CONTROL!$C$9, $C$13, 100%, $E$13) + CHOOSE(CONTROL!$C$28, 0.0003, 0)</f>
        <v>116.8099</v>
      </c>
      <c r="D845" s="4">
        <f>99.9534 * CHOOSE(CONTROL!$C$9, $C$13, 100%, $E$13) + CHOOSE(CONTROL!$C$28, 0, 0)</f>
        <v>99.953400000000002</v>
      </c>
      <c r="E845" s="4">
        <f>652.956068889613 * CHOOSE(CONTROL!$C$9, $C$13, 100%, $E$13) + CHOOSE(CONTROL!$C$28, 0, 0)</f>
        <v>652.95606888961299</v>
      </c>
    </row>
    <row r="846" spans="1:5" ht="15">
      <c r="A846" s="13">
        <v>67266</v>
      </c>
      <c r="B846" s="4">
        <f>119.9367 * CHOOSE(CONTROL!$C$9, $C$13, 100%, $E$13) + CHOOSE(CONTROL!$C$28, 0.0003, 0)</f>
        <v>119.937</v>
      </c>
      <c r="C846" s="4">
        <f>119.5734 * CHOOSE(CONTROL!$C$9, $C$13, 100%, $E$13) + CHOOSE(CONTROL!$C$28, 0.0003, 0)</f>
        <v>119.5737</v>
      </c>
      <c r="D846" s="4">
        <f>103.4158 * CHOOSE(CONTROL!$C$9, $C$13, 100%, $E$13) + CHOOSE(CONTROL!$C$28, 0, 0)</f>
        <v>103.4158</v>
      </c>
      <c r="E846" s="4">
        <f>668.459819205789 * CHOOSE(CONTROL!$C$9, $C$13, 100%, $E$13) + CHOOSE(CONTROL!$C$28, 0, 0)</f>
        <v>668.45981920578902</v>
      </c>
    </row>
    <row r="847" spans="1:5" ht="15">
      <c r="A847" s="13">
        <v>67297</v>
      </c>
      <c r="B847" s="4">
        <f>127.1945 * CHOOSE(CONTROL!$C$9, $C$13, 100%, $E$13) + CHOOSE(CONTROL!$C$28, 0.0003, 0)</f>
        <v>127.1948</v>
      </c>
      <c r="C847" s="4">
        <f>126.8313 * CHOOSE(CONTROL!$C$9, $C$13, 100%, $E$13) + CHOOSE(CONTROL!$C$28, 0.0003, 0)</f>
        <v>126.83159999999999</v>
      </c>
      <c r="D847" s="4">
        <f>108.8359 * CHOOSE(CONTROL!$C$9, $C$13, 100%, $E$13) + CHOOSE(CONTROL!$C$28, 0, 0)</f>
        <v>108.8359</v>
      </c>
      <c r="E847" s="4">
        <f>709.173491455396 * CHOOSE(CONTROL!$C$9, $C$13, 100%, $E$13) + CHOOSE(CONTROL!$C$28, 0, 0)</f>
        <v>709.17349145539595</v>
      </c>
    </row>
    <row r="848" spans="1:5" ht="15">
      <c r="A848" s="13">
        <v>67327</v>
      </c>
      <c r="B848" s="4">
        <f>132.3513 * CHOOSE(CONTROL!$C$9, $C$13, 100%, $E$13) + CHOOSE(CONTROL!$C$28, 0.0003, 0)</f>
        <v>132.35160000000002</v>
      </c>
      <c r="C848" s="4">
        <f>131.988 * CHOOSE(CONTROL!$C$9, $C$13, 100%, $E$13) + CHOOSE(CONTROL!$C$28, 0.0003, 0)</f>
        <v>131.98830000000001</v>
      </c>
      <c r="D848" s="4">
        <f>111.958 * CHOOSE(CONTROL!$C$9, $C$13, 100%, $E$13) + CHOOSE(CONTROL!$C$28, 0, 0)</f>
        <v>111.958</v>
      </c>
      <c r="E848" s="4">
        <f>738.101098169764 * CHOOSE(CONTROL!$C$9, $C$13, 100%, $E$13) + CHOOSE(CONTROL!$C$28, 0, 0)</f>
        <v>738.10109816976399</v>
      </c>
    </row>
    <row r="849" spans="1:5" ht="15">
      <c r="A849" s="13">
        <v>67358</v>
      </c>
      <c r="B849" s="4">
        <f>135.502 * CHOOSE(CONTROL!$C$9, $C$13, 100%, $E$13) + CHOOSE(CONTROL!$C$28, 0.0311, 0)</f>
        <v>135.53310000000002</v>
      </c>
      <c r="C849" s="4">
        <f>135.1387 * CHOOSE(CONTROL!$C$9, $C$13, 100%, $E$13) + CHOOSE(CONTROL!$C$28, 0.0311, 0)</f>
        <v>135.16980000000001</v>
      </c>
      <c r="D849" s="4">
        <f>110.7243 * CHOOSE(CONTROL!$C$9, $C$13, 100%, $E$13) + CHOOSE(CONTROL!$C$28, 0, 0)</f>
        <v>110.7243</v>
      </c>
      <c r="E849" s="4">
        <f>755.77517257427 * CHOOSE(CONTROL!$C$9, $C$13, 100%, $E$13) + CHOOSE(CONTROL!$C$28, 0, 0)</f>
        <v>755.77517257426996</v>
      </c>
    </row>
    <row r="850" spans="1:5" ht="15">
      <c r="A850" s="13">
        <v>67388</v>
      </c>
      <c r="B850" s="4">
        <f>135.9283 * CHOOSE(CONTROL!$C$9, $C$13, 100%, $E$13) + CHOOSE(CONTROL!$C$28, 0.0311, 0)</f>
        <v>135.95940000000002</v>
      </c>
      <c r="C850" s="4">
        <f>135.565 * CHOOSE(CONTROL!$C$9, $C$13, 100%, $E$13) + CHOOSE(CONTROL!$C$28, 0.0311, 0)</f>
        <v>135.59610000000001</v>
      </c>
      <c r="D850" s="4">
        <f>111.7291 * CHOOSE(CONTROL!$C$9, $C$13, 100%, $E$13) + CHOOSE(CONTROL!$C$28, 0, 0)</f>
        <v>111.7291</v>
      </c>
      <c r="E850" s="4">
        <f>758.166548190115 * CHOOSE(CONTROL!$C$9, $C$13, 100%, $E$13) + CHOOSE(CONTROL!$C$28, 0, 0)</f>
        <v>758.16654819011501</v>
      </c>
    </row>
    <row r="851" spans="1:5" ht="15">
      <c r="A851" s="13">
        <v>67419</v>
      </c>
      <c r="B851" s="4">
        <f>135.8853 * CHOOSE(CONTROL!$C$9, $C$13, 100%, $E$13) + CHOOSE(CONTROL!$C$28, 0.0311, 0)</f>
        <v>135.91640000000001</v>
      </c>
      <c r="C851" s="4">
        <f>135.522 * CHOOSE(CONTROL!$C$9, $C$13, 100%, $E$13) + CHOOSE(CONTROL!$C$28, 0.0311, 0)</f>
        <v>135.5531</v>
      </c>
      <c r="D851" s="4">
        <f>113.5421 * CHOOSE(CONTROL!$C$9, $C$13, 100%, $E$13) + CHOOSE(CONTROL!$C$28, 0, 0)</f>
        <v>113.5421</v>
      </c>
      <c r="E851" s="4">
        <f>757.92540106919 * CHOOSE(CONTROL!$C$9, $C$13, 100%, $E$13) + CHOOSE(CONTROL!$C$28, 0, 0)</f>
        <v>757.92540106919</v>
      </c>
    </row>
    <row r="852" spans="1:5" ht="15">
      <c r="A852" s="13">
        <v>67450</v>
      </c>
      <c r="B852" s="4">
        <f>139.1202 * CHOOSE(CONTROL!$C$9, $C$13, 100%, $E$13) + CHOOSE(CONTROL!$C$28, 0.0311, 0)</f>
        <v>139.15130000000002</v>
      </c>
      <c r="C852" s="4">
        <f>138.7569 * CHOOSE(CONTROL!$C$9, $C$13, 100%, $E$13) + CHOOSE(CONTROL!$C$28, 0.0311, 0)</f>
        <v>138.78800000000001</v>
      </c>
      <c r="D852" s="4">
        <f>112.3448 * CHOOSE(CONTROL!$C$9, $C$13, 100%, $E$13) + CHOOSE(CONTROL!$C$28, 0, 0)</f>
        <v>112.34480000000001</v>
      </c>
      <c r="E852" s="4">
        <f>776.071721918842 * CHOOSE(CONTROL!$C$9, $C$13, 100%, $E$13) + CHOOSE(CONTROL!$C$28, 0, 0)</f>
        <v>776.07172191884194</v>
      </c>
    </row>
    <row r="853" spans="1:5" ht="15">
      <c r="A853" s="13">
        <v>67480</v>
      </c>
      <c r="B853" s="4">
        <f>133.6069 * CHOOSE(CONTROL!$C$9, $C$13, 100%, $E$13) + CHOOSE(CONTROL!$C$28, 0.0311, 0)</f>
        <v>133.63800000000001</v>
      </c>
      <c r="C853" s="4">
        <f>133.2437 * CHOOSE(CONTROL!$C$9, $C$13, 100%, $E$13) + CHOOSE(CONTROL!$C$28, 0.0311, 0)</f>
        <v>133.2748</v>
      </c>
      <c r="D853" s="4">
        <f>111.7791 * CHOOSE(CONTROL!$C$9, $C$13, 100%, $E$13) + CHOOSE(CONTROL!$C$28, 0, 0)</f>
        <v>111.7791</v>
      </c>
      <c r="E853" s="4">
        <f>745.144603660133 * CHOOSE(CONTROL!$C$9, $C$13, 100%, $E$13) + CHOOSE(CONTROL!$C$28, 0, 0)</f>
        <v>745.14460366013304</v>
      </c>
    </row>
    <row r="854" spans="1:5" ht="15">
      <c r="A854" s="13">
        <v>67511</v>
      </c>
      <c r="B854" s="4">
        <f>129.1935 * CHOOSE(CONTROL!$C$9, $C$13, 100%, $E$13) + CHOOSE(CONTROL!$C$28, 0.0003, 0)</f>
        <v>129.19380000000001</v>
      </c>
      <c r="C854" s="4">
        <f>128.8302 * CHOOSE(CONTROL!$C$9, $C$13, 100%, $E$13) + CHOOSE(CONTROL!$C$28, 0.0003, 0)</f>
        <v>128.8305</v>
      </c>
      <c r="D854" s="4">
        <f>110.2644 * CHOOSE(CONTROL!$C$9, $C$13, 100%, $E$13) + CHOOSE(CONTROL!$C$28, 0, 0)</f>
        <v>110.26439999999999</v>
      </c>
      <c r="E854" s="4">
        <f>720.386832578437 * CHOOSE(CONTROL!$C$9, $C$13, 100%, $E$13) + CHOOSE(CONTROL!$C$28, 0, 0)</f>
        <v>720.38683257843695</v>
      </c>
    </row>
    <row r="855" spans="1:5" ht="15">
      <c r="A855" s="13">
        <v>67541</v>
      </c>
      <c r="B855" s="4">
        <f>126.3509 * CHOOSE(CONTROL!$C$9, $C$13, 100%, $E$13) + CHOOSE(CONTROL!$C$28, 0.0003, 0)</f>
        <v>126.35119999999999</v>
      </c>
      <c r="C855" s="4">
        <f>125.9876 * CHOOSE(CONTROL!$C$9, $C$13, 100%, $E$13) + CHOOSE(CONTROL!$C$28, 0.0003, 0)</f>
        <v>125.9879</v>
      </c>
      <c r="D855" s="4">
        <f>109.7436 * CHOOSE(CONTROL!$C$9, $C$13, 100%, $E$13) + CHOOSE(CONTROL!$C$28, 0, 0)</f>
        <v>109.7436</v>
      </c>
      <c r="E855" s="4">
        <f>704.440979207231 * CHOOSE(CONTROL!$C$9, $C$13, 100%, $E$13) + CHOOSE(CONTROL!$C$28, 0, 0)</f>
        <v>704.44097920723095</v>
      </c>
    </row>
    <row r="856" spans="1:5" ht="15">
      <c r="A856" s="13">
        <v>67572</v>
      </c>
      <c r="B856" s="4">
        <f>124.3842 * CHOOSE(CONTROL!$C$9, $C$13, 100%, $E$13) + CHOOSE(CONTROL!$C$28, 0.0003, 0)</f>
        <v>124.3845</v>
      </c>
      <c r="C856" s="4">
        <f>124.0209 * CHOOSE(CONTROL!$C$9, $C$13, 100%, $E$13) + CHOOSE(CONTROL!$C$28, 0.0003, 0)</f>
        <v>124.02119999999999</v>
      </c>
      <c r="D856" s="4">
        <f>105.9099 * CHOOSE(CONTROL!$C$9, $C$13, 100%, $E$13) + CHOOSE(CONTROL!$C$28, 0, 0)</f>
        <v>105.90989999999999</v>
      </c>
      <c r="E856" s="4">
        <f>693.408498424884 * CHOOSE(CONTROL!$C$9, $C$13, 100%, $E$13) + CHOOSE(CONTROL!$C$28, 0, 0)</f>
        <v>693.40849842488399</v>
      </c>
    </row>
    <row r="857" spans="1:5" ht="15">
      <c r="A857" s="13">
        <v>67603</v>
      </c>
      <c r="B857" s="4">
        <f>121.1887 * CHOOSE(CONTROL!$C$9, $C$13, 100%, $E$13) + CHOOSE(CONTROL!$C$28, 0.0003, 0)</f>
        <v>121.18899999999999</v>
      </c>
      <c r="C857" s="4">
        <f>120.8254 * CHOOSE(CONTROL!$C$9, $C$13, 100%, $E$13) + CHOOSE(CONTROL!$C$28, 0.0003, 0)</f>
        <v>120.8257</v>
      </c>
      <c r="D857" s="4">
        <f>102.3863 * CHOOSE(CONTROL!$C$9, $C$13, 100%, $E$13) + CHOOSE(CONTROL!$C$28, 0, 0)</f>
        <v>102.38630000000001</v>
      </c>
      <c r="E857" s="4">
        <f>673.524185059636 * CHOOSE(CONTROL!$C$9, $C$13, 100%, $E$13) + CHOOSE(CONTROL!$C$28, 0, 0)</f>
        <v>673.52418505963601</v>
      </c>
    </row>
    <row r="858" spans="1:5" ht="15">
      <c r="A858" s="13">
        <v>67631</v>
      </c>
      <c r="B858" s="4">
        <f>124.0478 * CHOOSE(CONTROL!$C$9, $C$13, 100%, $E$13) + CHOOSE(CONTROL!$C$28, 0.0003, 0)</f>
        <v>124.04809999999999</v>
      </c>
      <c r="C858" s="4">
        <f>123.6845 * CHOOSE(CONTROL!$C$9, $C$13, 100%, $E$13) + CHOOSE(CONTROL!$C$28, 0.0003, 0)</f>
        <v>123.6848</v>
      </c>
      <c r="D858" s="4">
        <f>105.9346 * CHOOSE(CONTROL!$C$9, $C$13, 100%, $E$13) + CHOOSE(CONTROL!$C$28, 0, 0)</f>
        <v>105.9346</v>
      </c>
      <c r="E858" s="4">
        <f>689.516303510771 * CHOOSE(CONTROL!$C$9, $C$13, 100%, $E$13) + CHOOSE(CONTROL!$C$28, 0, 0)</f>
        <v>689.51630351077097</v>
      </c>
    </row>
    <row r="859" spans="1:5" ht="15">
      <c r="A859" s="13">
        <v>67662</v>
      </c>
      <c r="B859" s="4">
        <f>131.5561 * CHOOSE(CONTROL!$C$9, $C$13, 100%, $E$13) + CHOOSE(CONTROL!$C$28, 0.0003, 0)</f>
        <v>131.5564</v>
      </c>
      <c r="C859" s="4">
        <f>131.1928 * CHOOSE(CONTROL!$C$9, $C$13, 100%, $E$13) + CHOOSE(CONTROL!$C$28, 0.0003, 0)</f>
        <v>131.19310000000002</v>
      </c>
      <c r="D859" s="4">
        <f>111.4891 * CHOOSE(CONTROL!$C$9, $C$13, 100%, $E$13) + CHOOSE(CONTROL!$C$28, 0, 0)</f>
        <v>111.48909999999999</v>
      </c>
      <c r="E859" s="4">
        <f>731.512456436241 * CHOOSE(CONTROL!$C$9, $C$13, 100%, $E$13) + CHOOSE(CONTROL!$C$28, 0, 0)</f>
        <v>731.512456436241</v>
      </c>
    </row>
    <row r="860" spans="1:5" ht="15">
      <c r="A860" s="13">
        <v>67692</v>
      </c>
      <c r="B860" s="4">
        <f>136.8908 * CHOOSE(CONTROL!$C$9, $C$13, 100%, $E$13) + CHOOSE(CONTROL!$C$28, 0.0003, 0)</f>
        <v>136.89110000000002</v>
      </c>
      <c r="C860" s="4">
        <f>136.5275 * CHOOSE(CONTROL!$C$9, $C$13, 100%, $E$13) + CHOOSE(CONTROL!$C$28, 0.0003, 0)</f>
        <v>136.52780000000001</v>
      </c>
      <c r="D860" s="4">
        <f>114.6887 * CHOOSE(CONTROL!$C$9, $C$13, 100%, $E$13) + CHOOSE(CONTROL!$C$28, 0, 0)</f>
        <v>114.6887</v>
      </c>
      <c r="E860" s="4">
        <f>761.351282762112 * CHOOSE(CONTROL!$C$9, $C$13, 100%, $E$13) + CHOOSE(CONTROL!$C$28, 0, 0)</f>
        <v>761.35128276211196</v>
      </c>
    </row>
    <row r="861" spans="1:5" ht="15">
      <c r="A861" s="13">
        <v>67723</v>
      </c>
      <c r="B861" s="4">
        <f>140.1501 * CHOOSE(CONTROL!$C$9, $C$13, 100%, $E$13) + CHOOSE(CONTROL!$C$28, 0.0311, 0)</f>
        <v>140.18120000000002</v>
      </c>
      <c r="C861" s="4">
        <f>139.7869 * CHOOSE(CONTROL!$C$9, $C$13, 100%, $E$13) + CHOOSE(CONTROL!$C$28, 0.0311, 0)</f>
        <v>139.81800000000001</v>
      </c>
      <c r="D861" s="4">
        <f>113.4243 * CHOOSE(CONTROL!$C$9, $C$13, 100%, $E$13) + CHOOSE(CONTROL!$C$28, 0, 0)</f>
        <v>113.4243</v>
      </c>
      <c r="E861" s="4">
        <f>779.58209051036 * CHOOSE(CONTROL!$C$9, $C$13, 100%, $E$13) + CHOOSE(CONTROL!$C$28, 0, 0)</f>
        <v>779.58209051035999</v>
      </c>
    </row>
    <row r="862" spans="1:5" ht="15">
      <c r="A862" s="13">
        <v>67753</v>
      </c>
      <c r="B862" s="4">
        <f>140.5911 * CHOOSE(CONTROL!$C$9, $C$13, 100%, $E$13) + CHOOSE(CONTROL!$C$28, 0.0311, 0)</f>
        <v>140.62220000000002</v>
      </c>
      <c r="C862" s="4">
        <f>140.2279 * CHOOSE(CONTROL!$C$9, $C$13, 100%, $E$13) + CHOOSE(CONTROL!$C$28, 0.0311, 0)</f>
        <v>140.25900000000001</v>
      </c>
      <c r="D862" s="4">
        <f>114.454 * CHOOSE(CONTROL!$C$9, $C$13, 100%, $E$13) + CHOOSE(CONTROL!$C$28, 0, 0)</f>
        <v>114.45399999999999</v>
      </c>
      <c r="E862" s="4">
        <f>782.048794458104 * CHOOSE(CONTROL!$C$9, $C$13, 100%, $E$13) + CHOOSE(CONTROL!$C$28, 0, 0)</f>
        <v>782.048794458104</v>
      </c>
    </row>
    <row r="863" spans="1:5" ht="15">
      <c r="A863" s="13">
        <v>67784</v>
      </c>
      <c r="B863" s="4">
        <f>140.5467 * CHOOSE(CONTROL!$C$9, $C$13, 100%, $E$13) + CHOOSE(CONTROL!$C$28, 0.0311, 0)</f>
        <v>140.5778</v>
      </c>
      <c r="C863" s="4">
        <f>140.1834 * CHOOSE(CONTROL!$C$9, $C$13, 100%, $E$13) + CHOOSE(CONTROL!$C$28, 0.0311, 0)</f>
        <v>140.21450000000002</v>
      </c>
      <c r="D863" s="4">
        <f>116.312 * CHOOSE(CONTROL!$C$9, $C$13, 100%, $E$13) + CHOOSE(CONTROL!$C$28, 0, 0)</f>
        <v>116.312</v>
      </c>
      <c r="E863" s="4">
        <f>781.80005120287 * CHOOSE(CONTROL!$C$9, $C$13, 100%, $E$13) + CHOOSE(CONTROL!$C$28, 0, 0)</f>
        <v>781.80005120287001</v>
      </c>
    </row>
    <row r="864" spans="1:5" ht="15">
      <c r="A864" s="13">
        <v>67815</v>
      </c>
      <c r="B864" s="4">
        <f>143.8931 * CHOOSE(CONTROL!$C$9, $C$13, 100%, $E$13) + CHOOSE(CONTROL!$C$28, 0.0311, 0)</f>
        <v>143.92420000000001</v>
      </c>
      <c r="C864" s="4">
        <f>143.5299 * CHOOSE(CONTROL!$C$9, $C$13, 100%, $E$13) + CHOOSE(CONTROL!$C$28, 0.0311, 0)</f>
        <v>143.56100000000001</v>
      </c>
      <c r="D864" s="4">
        <f>115.085 * CHOOSE(CONTROL!$C$9, $C$13, 100%, $E$13) + CHOOSE(CONTROL!$C$28, 0, 0)</f>
        <v>115.08499999999999</v>
      </c>
      <c r="E864" s="4">
        <f>800.517981159286 * CHOOSE(CONTROL!$C$9, $C$13, 100%, $E$13) + CHOOSE(CONTROL!$C$28, 0, 0)</f>
        <v>800.51798115928602</v>
      </c>
    </row>
    <row r="865" spans="1:5" ht="15">
      <c r="A865" s="13">
        <v>67845</v>
      </c>
      <c r="B865" s="4">
        <f>138.1897 * CHOOSE(CONTROL!$C$9, $C$13, 100%, $E$13) + CHOOSE(CONTROL!$C$28, 0.0311, 0)</f>
        <v>138.2208</v>
      </c>
      <c r="C865" s="4">
        <f>137.8264 * CHOOSE(CONTROL!$C$9, $C$13, 100%, $E$13) + CHOOSE(CONTROL!$C$28, 0.0311, 0)</f>
        <v>137.85750000000002</v>
      </c>
      <c r="D865" s="4">
        <f>114.5053 * CHOOSE(CONTROL!$C$9, $C$13, 100%, $E$13) + CHOOSE(CONTROL!$C$28, 0, 0)</f>
        <v>114.50530000000001</v>
      </c>
      <c r="E865" s="4">
        <f>768.616658675427 * CHOOSE(CONTROL!$C$9, $C$13, 100%, $E$13) + CHOOSE(CONTROL!$C$28, 0, 0)</f>
        <v>768.61665867542695</v>
      </c>
    </row>
    <row r="866" spans="1:5" ht="15">
      <c r="A866" s="13">
        <v>67876</v>
      </c>
      <c r="B866" s="4">
        <f>133.624 * CHOOSE(CONTROL!$C$9, $C$13, 100%, $E$13) + CHOOSE(CONTROL!$C$28, 0.0003, 0)</f>
        <v>133.62430000000001</v>
      </c>
      <c r="C866" s="4">
        <f>133.2607 * CHOOSE(CONTROL!$C$9, $C$13, 100%, $E$13) + CHOOSE(CONTROL!$C$28, 0.0003, 0)</f>
        <v>133.26100000000002</v>
      </c>
      <c r="D866" s="4">
        <f>112.953 * CHOOSE(CONTROL!$C$9, $C$13, 100%, $E$13) + CHOOSE(CONTROL!$C$28, 0, 0)</f>
        <v>112.953</v>
      </c>
      <c r="E866" s="4">
        <f>743.079017804658 * CHOOSE(CONTROL!$C$9, $C$13, 100%, $E$13) + CHOOSE(CONTROL!$C$28, 0, 0)</f>
        <v>743.07901780465795</v>
      </c>
    </row>
    <row r="867" spans="1:5" ht="15">
      <c r="A867" s="13">
        <v>67906</v>
      </c>
      <c r="B867" s="4">
        <f>130.6833 * CHOOSE(CONTROL!$C$9, $C$13, 100%, $E$13) + CHOOSE(CONTROL!$C$28, 0.0003, 0)</f>
        <v>130.68360000000001</v>
      </c>
      <c r="C867" s="4">
        <f>130.32 * CHOOSE(CONTROL!$C$9, $C$13, 100%, $E$13) + CHOOSE(CONTROL!$C$28, 0.0003, 0)</f>
        <v>130.3203</v>
      </c>
      <c r="D867" s="4">
        <f>112.4194 * CHOOSE(CONTROL!$C$9, $C$13, 100%, $E$13) + CHOOSE(CONTROL!$C$28, 0, 0)</f>
        <v>112.4194</v>
      </c>
      <c r="E867" s="4">
        <f>726.630870052259 * CHOOSE(CONTROL!$C$9, $C$13, 100%, $E$13) + CHOOSE(CONTROL!$C$28, 0, 0)</f>
        <v>726.63087005225896</v>
      </c>
    </row>
    <row r="868" spans="1:5" ht="15">
      <c r="A868" s="13">
        <v>67937</v>
      </c>
      <c r="B868" s="4">
        <f>128.6488 * CHOOSE(CONTROL!$C$9, $C$13, 100%, $E$13) + CHOOSE(CONTROL!$C$28, 0.0003, 0)</f>
        <v>128.6491</v>
      </c>
      <c r="C868" s="4">
        <f>128.2855 * CHOOSE(CONTROL!$C$9, $C$13, 100%, $E$13) + CHOOSE(CONTROL!$C$28, 0.0003, 0)</f>
        <v>128.28580000000002</v>
      </c>
      <c r="D868" s="4">
        <f>108.4905 * CHOOSE(CONTROL!$C$9, $C$13, 100%, $E$13) + CHOOSE(CONTROL!$C$28, 0, 0)</f>
        <v>108.4905</v>
      </c>
      <c r="E868" s="4">
        <f>715.250866125268 * CHOOSE(CONTROL!$C$9, $C$13, 100%, $E$13) + CHOOSE(CONTROL!$C$28, 0, 0)</f>
        <v>715.25086612526798</v>
      </c>
    </row>
    <row r="869" spans="1:5" ht="15">
      <c r="A869" s="13">
        <v>67968</v>
      </c>
      <c r="B869" s="4">
        <f>125.343 * CHOOSE(CONTROL!$C$9, $C$13, 100%, $E$13) + CHOOSE(CONTROL!$C$28, 0.0003, 0)</f>
        <v>125.3433</v>
      </c>
      <c r="C869" s="4">
        <f>124.9797 * CHOOSE(CONTROL!$C$9, $C$13, 100%, $E$13) + CHOOSE(CONTROL!$C$28, 0.0003, 0)</f>
        <v>124.97999999999999</v>
      </c>
      <c r="D869" s="4">
        <f>104.8796 * CHOOSE(CONTROL!$C$9, $C$13, 100%, $E$13) + CHOOSE(CONTROL!$C$28, 0, 0)</f>
        <v>104.8796</v>
      </c>
      <c r="E869" s="4">
        <f>694.740196889015 * CHOOSE(CONTROL!$C$9, $C$13, 100%, $E$13) + CHOOSE(CONTROL!$C$28, 0, 0)</f>
        <v>694.74019688901501</v>
      </c>
    </row>
    <row r="870" spans="1:5" ht="15">
      <c r="A870" s="13">
        <v>67996</v>
      </c>
      <c r="B870" s="4">
        <f>128.3008 * CHOOSE(CONTROL!$C$9, $C$13, 100%, $E$13) + CHOOSE(CONTROL!$C$28, 0.0003, 0)</f>
        <v>128.30110000000002</v>
      </c>
      <c r="C870" s="4">
        <f>127.9375 * CHOOSE(CONTROL!$C$9, $C$13, 100%, $E$13) + CHOOSE(CONTROL!$C$28, 0.0003, 0)</f>
        <v>127.9378</v>
      </c>
      <c r="D870" s="4">
        <f>108.5158 * CHOOSE(CONTROL!$C$9, $C$13, 100%, $E$13) + CHOOSE(CONTROL!$C$28, 0, 0)</f>
        <v>108.5158</v>
      </c>
      <c r="E870" s="4">
        <f>711.236067071361 * CHOOSE(CONTROL!$C$9, $C$13, 100%, $E$13) + CHOOSE(CONTROL!$C$28, 0, 0)</f>
        <v>711.23606707136105</v>
      </c>
    </row>
    <row r="871" spans="1:5" ht="15">
      <c r="A871" s="13">
        <v>68027</v>
      </c>
      <c r="B871" s="4">
        <f>136.0681 * CHOOSE(CONTROL!$C$9, $C$13, 100%, $E$13) + CHOOSE(CONTROL!$C$28, 0.0003, 0)</f>
        <v>136.0684</v>
      </c>
      <c r="C871" s="4">
        <f>135.7048 * CHOOSE(CONTROL!$C$9, $C$13, 100%, $E$13) + CHOOSE(CONTROL!$C$28, 0.0003, 0)</f>
        <v>135.70510000000002</v>
      </c>
      <c r="D871" s="4">
        <f>114.2081 * CHOOSE(CONTROL!$C$9, $C$13, 100%, $E$13) + CHOOSE(CONTROL!$C$28, 0, 0)</f>
        <v>114.2081</v>
      </c>
      <c r="E871" s="4">
        <f>754.555098813983 * CHOOSE(CONTROL!$C$9, $C$13, 100%, $E$13) + CHOOSE(CONTROL!$C$28, 0, 0)</f>
        <v>754.55509881398302</v>
      </c>
    </row>
    <row r="872" spans="1:5" ht="15">
      <c r="A872" s="13">
        <v>68057</v>
      </c>
      <c r="B872" s="4">
        <f>141.5868 * CHOOSE(CONTROL!$C$9, $C$13, 100%, $E$13) + CHOOSE(CONTROL!$C$28, 0.0003, 0)</f>
        <v>141.58710000000002</v>
      </c>
      <c r="C872" s="4">
        <f>141.2235 * CHOOSE(CONTROL!$C$9, $C$13, 100%, $E$13) + CHOOSE(CONTROL!$C$28, 0.0003, 0)</f>
        <v>141.22380000000001</v>
      </c>
      <c r="D872" s="4">
        <f>117.487 * CHOOSE(CONTROL!$C$9, $C$13, 100%, $E$13) + CHOOSE(CONTROL!$C$28, 0, 0)</f>
        <v>117.48699999999999</v>
      </c>
      <c r="E872" s="4">
        <f>785.333848169118 * CHOOSE(CONTROL!$C$9, $C$13, 100%, $E$13) + CHOOSE(CONTROL!$C$28, 0, 0)</f>
        <v>785.33384816911803</v>
      </c>
    </row>
    <row r="873" spans="1:5" ht="15">
      <c r="A873" s="13">
        <v>68088</v>
      </c>
      <c r="B873" s="4">
        <f>144.9586 * CHOOSE(CONTROL!$C$9, $C$13, 100%, $E$13) + CHOOSE(CONTROL!$C$28, 0.0311, 0)</f>
        <v>144.9897</v>
      </c>
      <c r="C873" s="4">
        <f>144.5954 * CHOOSE(CONTROL!$C$9, $C$13, 100%, $E$13) + CHOOSE(CONTROL!$C$28, 0.0311, 0)</f>
        <v>144.62650000000002</v>
      </c>
      <c r="D873" s="4">
        <f>116.1913 * CHOOSE(CONTROL!$C$9, $C$13, 100%, $E$13) + CHOOSE(CONTROL!$C$28, 0, 0)</f>
        <v>116.1913</v>
      </c>
      <c r="E873" s="4">
        <f>804.138926361436 * CHOOSE(CONTROL!$C$9, $C$13, 100%, $E$13) + CHOOSE(CONTROL!$C$28, 0, 0)</f>
        <v>804.13892636143601</v>
      </c>
    </row>
    <row r="874" spans="1:5" ht="15">
      <c r="A874" s="13">
        <v>68118</v>
      </c>
      <c r="B874" s="4">
        <f>145.4149 * CHOOSE(CONTROL!$C$9, $C$13, 100%, $E$13) + CHOOSE(CONTROL!$C$28, 0.0311, 0)</f>
        <v>145.446</v>
      </c>
      <c r="C874" s="4">
        <f>145.0516 * CHOOSE(CONTROL!$C$9, $C$13, 100%, $E$13) + CHOOSE(CONTROL!$C$28, 0.0311, 0)</f>
        <v>145.08270000000002</v>
      </c>
      <c r="D874" s="4">
        <f>117.2466 * CHOOSE(CONTROL!$C$9, $C$13, 100%, $E$13) + CHOOSE(CONTROL!$C$28, 0, 0)</f>
        <v>117.2466</v>
      </c>
      <c r="E874" s="4">
        <f>806.683331483535 * CHOOSE(CONTROL!$C$9, $C$13, 100%, $E$13) + CHOOSE(CONTROL!$C$28, 0, 0)</f>
        <v>806.68333148353497</v>
      </c>
    </row>
    <row r="875" spans="1:5" ht="15">
      <c r="A875" s="13">
        <v>68149</v>
      </c>
      <c r="B875" s="4">
        <f>145.3689 * CHOOSE(CONTROL!$C$9, $C$13, 100%, $E$13) + CHOOSE(CONTROL!$C$28, 0.0311, 0)</f>
        <v>145.4</v>
      </c>
      <c r="C875" s="4">
        <f>145.0056 * CHOOSE(CONTROL!$C$9, $C$13, 100%, $E$13) + CHOOSE(CONTROL!$C$28, 0.0311, 0)</f>
        <v>145.0367</v>
      </c>
      <c r="D875" s="4">
        <f>119.1506 * CHOOSE(CONTROL!$C$9, $C$13, 100%, $E$13) + CHOOSE(CONTROL!$C$28, 0, 0)</f>
        <v>119.1506</v>
      </c>
      <c r="E875" s="4">
        <f>806.42675281576 * CHOOSE(CONTROL!$C$9, $C$13, 100%, $E$13) + CHOOSE(CONTROL!$C$28, 0, 0)</f>
        <v>806.42675281575998</v>
      </c>
    </row>
    <row r="876" spans="1:5" ht="15">
      <c r="A876" s="13">
        <v>68180</v>
      </c>
      <c r="B876" s="4">
        <f>148.8308 * CHOOSE(CONTROL!$C$9, $C$13, 100%, $E$13) + CHOOSE(CONTROL!$C$28, 0.0311, 0)</f>
        <v>148.86190000000002</v>
      </c>
      <c r="C876" s="4">
        <f>148.4675 * CHOOSE(CONTROL!$C$9, $C$13, 100%, $E$13) + CHOOSE(CONTROL!$C$28, 0.0311, 0)</f>
        <v>148.49860000000001</v>
      </c>
      <c r="D876" s="4">
        <f>117.8932 * CHOOSE(CONTROL!$C$9, $C$13, 100%, $E$13) + CHOOSE(CONTROL!$C$28, 0, 0)</f>
        <v>117.89319999999999</v>
      </c>
      <c r="E876" s="4">
        <f>825.734297565803 * CHOOSE(CONTROL!$C$9, $C$13, 100%, $E$13) + CHOOSE(CONTROL!$C$28, 0, 0)</f>
        <v>825.73429756580299</v>
      </c>
    </row>
    <row r="877" spans="1:5" ht="15">
      <c r="A877" s="13">
        <v>68210</v>
      </c>
      <c r="B877" s="4">
        <f>142.9306 * CHOOSE(CONTROL!$C$9, $C$13, 100%, $E$13) + CHOOSE(CONTROL!$C$28, 0.0311, 0)</f>
        <v>142.96170000000001</v>
      </c>
      <c r="C877" s="4">
        <f>142.5673 * CHOOSE(CONTROL!$C$9, $C$13, 100%, $E$13) + CHOOSE(CONTROL!$C$28, 0.0311, 0)</f>
        <v>142.5984</v>
      </c>
      <c r="D877" s="4">
        <f>117.2991 * CHOOSE(CONTROL!$C$9, $C$13, 100%, $E$13) + CHOOSE(CONTROL!$C$28, 0, 0)</f>
        <v>117.2991</v>
      </c>
      <c r="E877" s="4">
        <f>792.828083423703 * CHOOSE(CONTROL!$C$9, $C$13, 100%, $E$13) + CHOOSE(CONTROL!$C$28, 0, 0)</f>
        <v>792.82808342370299</v>
      </c>
    </row>
    <row r="878" spans="1:5" ht="15">
      <c r="A878" s="13">
        <v>68241</v>
      </c>
      <c r="B878" s="4">
        <f>138.2073 * CHOOSE(CONTROL!$C$9, $C$13, 100%, $E$13) + CHOOSE(CONTROL!$C$28, 0.0003, 0)</f>
        <v>138.20760000000001</v>
      </c>
      <c r="C878" s="4">
        <f>137.844 * CHOOSE(CONTROL!$C$9, $C$13, 100%, $E$13) + CHOOSE(CONTROL!$C$28, 0.0003, 0)</f>
        <v>137.8443</v>
      </c>
      <c r="D878" s="4">
        <f>115.7083 * CHOOSE(CONTROL!$C$9, $C$13, 100%, $E$13) + CHOOSE(CONTROL!$C$28, 0, 0)</f>
        <v>115.70829999999999</v>
      </c>
      <c r="E878" s="4">
        <f>766.486006865504 * CHOOSE(CONTROL!$C$9, $C$13, 100%, $E$13) + CHOOSE(CONTROL!$C$28, 0, 0)</f>
        <v>766.48600686550401</v>
      </c>
    </row>
    <row r="879" spans="1:5" ht="15">
      <c r="A879" s="13">
        <v>68271</v>
      </c>
      <c r="B879" s="4">
        <f>135.1652 * CHOOSE(CONTROL!$C$9, $C$13, 100%, $E$13) + CHOOSE(CONTROL!$C$28, 0.0003, 0)</f>
        <v>135.16550000000001</v>
      </c>
      <c r="C879" s="4">
        <f>134.8019 * CHOOSE(CONTROL!$C$9, $C$13, 100%, $E$13) + CHOOSE(CONTROL!$C$28, 0.0003, 0)</f>
        <v>134.8022</v>
      </c>
      <c r="D879" s="4">
        <f>115.1614 * CHOOSE(CONTROL!$C$9, $C$13, 100%, $E$13) + CHOOSE(CONTROL!$C$28, 0, 0)</f>
        <v>115.1614</v>
      </c>
      <c r="E879" s="4">
        <f>749.519742458905 * CHOOSE(CONTROL!$C$9, $C$13, 100%, $E$13) + CHOOSE(CONTROL!$C$28, 0, 0)</f>
        <v>749.51974245890494</v>
      </c>
    </row>
    <row r="880" spans="1:5" ht="15">
      <c r="A880" s="13">
        <v>68302</v>
      </c>
      <c r="B880" s="4">
        <f>133.0605 * CHOOSE(CONTROL!$C$9, $C$13, 100%, $E$13) + CHOOSE(CONTROL!$C$28, 0.0003, 0)</f>
        <v>133.0608</v>
      </c>
      <c r="C880" s="4">
        <f>132.6972 * CHOOSE(CONTROL!$C$9, $C$13, 100%, $E$13) + CHOOSE(CONTROL!$C$28, 0.0003, 0)</f>
        <v>132.69750000000002</v>
      </c>
      <c r="D880" s="4">
        <f>111.1351 * CHOOSE(CONTROL!$C$9, $C$13, 100%, $E$13) + CHOOSE(CONTROL!$C$28, 0, 0)</f>
        <v>111.13509999999999</v>
      </c>
      <c r="E880" s="4">
        <f>737.781268408214 * CHOOSE(CONTROL!$C$9, $C$13, 100%, $E$13) + CHOOSE(CONTROL!$C$28, 0, 0)</f>
        <v>737.78126840821403</v>
      </c>
    </row>
    <row r="881" spans="1:5" ht="15">
      <c r="A881" s="13">
        <v>68333</v>
      </c>
      <c r="B881" s="4">
        <f>129.6407 * CHOOSE(CONTROL!$C$9, $C$13, 100%, $E$13) + CHOOSE(CONTROL!$C$28, 0.0003, 0)</f>
        <v>129.64100000000002</v>
      </c>
      <c r="C881" s="4">
        <f>129.2774 * CHOOSE(CONTROL!$C$9, $C$13, 100%, $E$13) + CHOOSE(CONTROL!$C$28, 0.0003, 0)</f>
        <v>129.27770000000001</v>
      </c>
      <c r="D881" s="4">
        <f>107.4346 * CHOOSE(CONTROL!$C$9, $C$13, 100%, $E$13) + CHOOSE(CONTROL!$C$28, 0, 0)</f>
        <v>107.4346</v>
      </c>
      <c r="E881" s="4">
        <f>716.624513091019 * CHOOSE(CONTROL!$C$9, $C$13, 100%, $E$13) + CHOOSE(CONTROL!$C$28, 0, 0)</f>
        <v>716.62451309101903</v>
      </c>
    </row>
    <row r="882" spans="1:5" ht="15">
      <c r="A882" s="13">
        <v>68361</v>
      </c>
      <c r="B882" s="4">
        <f>132.7005 * CHOOSE(CONTROL!$C$9, $C$13, 100%, $E$13) + CHOOSE(CONTROL!$C$28, 0.0003, 0)</f>
        <v>132.70080000000002</v>
      </c>
      <c r="C882" s="4">
        <f>132.3372 * CHOOSE(CONTROL!$C$9, $C$13, 100%, $E$13) + CHOOSE(CONTROL!$C$28, 0.0003, 0)</f>
        <v>132.33750000000001</v>
      </c>
      <c r="D882" s="4">
        <f>111.1611 * CHOOSE(CONTROL!$C$9, $C$13, 100%, $E$13) + CHOOSE(CONTROL!$C$28, 0, 0)</f>
        <v>111.1611</v>
      </c>
      <c r="E882" s="4">
        <f>733.640003184109 * CHOOSE(CONTROL!$C$9, $C$13, 100%, $E$13) + CHOOSE(CONTROL!$C$28, 0, 0)</f>
        <v>733.64000318410899</v>
      </c>
    </row>
    <row r="883" spans="1:5" ht="15">
      <c r="A883" s="13">
        <v>68392</v>
      </c>
      <c r="B883" s="4">
        <f>140.7357 * CHOOSE(CONTROL!$C$9, $C$13, 100%, $E$13) + CHOOSE(CONTROL!$C$28, 0.0003, 0)</f>
        <v>140.73600000000002</v>
      </c>
      <c r="C883" s="4">
        <f>140.3724 * CHOOSE(CONTROL!$C$9, $C$13, 100%, $E$13) + CHOOSE(CONTROL!$C$28, 0.0003, 0)</f>
        <v>140.37270000000001</v>
      </c>
      <c r="D883" s="4">
        <f>116.9945 * CHOOSE(CONTROL!$C$9, $C$13, 100%, $E$13) + CHOOSE(CONTROL!$C$28, 0, 0)</f>
        <v>116.9945</v>
      </c>
      <c r="E883" s="4">
        <f>778.323584426623 * CHOOSE(CONTROL!$C$9, $C$13, 100%, $E$13) + CHOOSE(CONTROL!$C$28, 0, 0)</f>
        <v>778.32358442662303</v>
      </c>
    </row>
    <row r="884" spans="1:5" ht="15">
      <c r="A884" s="13">
        <v>68422</v>
      </c>
      <c r="B884" s="4">
        <f>146.4449 * CHOOSE(CONTROL!$C$9, $C$13, 100%, $E$13) + CHOOSE(CONTROL!$C$28, 0.0003, 0)</f>
        <v>146.4452</v>
      </c>
      <c r="C884" s="4">
        <f>146.0816 * CHOOSE(CONTROL!$C$9, $C$13, 100%, $E$13) + CHOOSE(CONTROL!$C$28, 0.0003, 0)</f>
        <v>146.08190000000002</v>
      </c>
      <c r="D884" s="4">
        <f>120.3548 * CHOOSE(CONTROL!$C$9, $C$13, 100%, $E$13) + CHOOSE(CONTROL!$C$28, 0, 0)</f>
        <v>120.3548</v>
      </c>
      <c r="E884" s="4">
        <f>810.071864386445 * CHOOSE(CONTROL!$C$9, $C$13, 100%, $E$13) + CHOOSE(CONTROL!$C$28, 0, 0)</f>
        <v>810.07186438644499</v>
      </c>
    </row>
    <row r="885" spans="1:5" ht="15">
      <c r="A885" s="13">
        <v>68453</v>
      </c>
      <c r="B885" s="4">
        <f>149.933 * CHOOSE(CONTROL!$C$9, $C$13, 100%, $E$13) + CHOOSE(CONTROL!$C$28, 0.0311, 0)</f>
        <v>149.9641</v>
      </c>
      <c r="C885" s="4">
        <f>149.5697 * CHOOSE(CONTROL!$C$9, $C$13, 100%, $E$13) + CHOOSE(CONTROL!$C$28, 0.0311, 0)</f>
        <v>149.60080000000002</v>
      </c>
      <c r="D885" s="4">
        <f>119.027 * CHOOSE(CONTROL!$C$9, $C$13, 100%, $E$13) + CHOOSE(CONTROL!$C$28, 0, 0)</f>
        <v>119.027</v>
      </c>
      <c r="E885" s="4">
        <f>829.469302541821 * CHOOSE(CONTROL!$C$9, $C$13, 100%, $E$13) + CHOOSE(CONTROL!$C$28, 0, 0)</f>
        <v>829.46930254182098</v>
      </c>
    </row>
    <row r="886" spans="1:5" ht="15">
      <c r="A886" s="13">
        <v>68483</v>
      </c>
      <c r="B886" s="4">
        <f>150.405 * CHOOSE(CONTROL!$C$9, $C$13, 100%, $E$13) + CHOOSE(CONTROL!$C$28, 0.0311, 0)</f>
        <v>150.43610000000001</v>
      </c>
      <c r="C886" s="4">
        <f>150.0417 * CHOOSE(CONTROL!$C$9, $C$13, 100%, $E$13) + CHOOSE(CONTROL!$C$28, 0.0311, 0)</f>
        <v>150.0728</v>
      </c>
      <c r="D886" s="4">
        <f>120.1084 * CHOOSE(CONTROL!$C$9, $C$13, 100%, $E$13) + CHOOSE(CONTROL!$C$28, 0, 0)</f>
        <v>120.1084</v>
      </c>
      <c r="E886" s="4">
        <f>832.093856425266 * CHOOSE(CONTROL!$C$9, $C$13, 100%, $E$13) + CHOOSE(CONTROL!$C$28, 0, 0)</f>
        <v>832.09385642526604</v>
      </c>
    </row>
    <row r="887" spans="1:5" ht="15">
      <c r="A887" s="13">
        <v>68514</v>
      </c>
      <c r="B887" s="4">
        <f>150.3574 * CHOOSE(CONTROL!$C$9, $C$13, 100%, $E$13) + CHOOSE(CONTROL!$C$28, 0.0311, 0)</f>
        <v>150.38850000000002</v>
      </c>
      <c r="C887" s="4">
        <f>149.9941 * CHOOSE(CONTROL!$C$9, $C$13, 100%, $E$13) + CHOOSE(CONTROL!$C$28, 0.0311, 0)</f>
        <v>150.02520000000001</v>
      </c>
      <c r="D887" s="4">
        <f>122.0596 * CHOOSE(CONTROL!$C$9, $C$13, 100%, $E$13) + CHOOSE(CONTROL!$C$28, 0, 0)</f>
        <v>122.0596</v>
      </c>
      <c r="E887" s="4">
        <f>831.829195529456 * CHOOSE(CONTROL!$C$9, $C$13, 100%, $E$13) + CHOOSE(CONTROL!$C$28, 0, 0)</f>
        <v>831.829195529456</v>
      </c>
    </row>
    <row r="888" spans="1:5" ht="15">
      <c r="A888" s="13">
        <v>68545</v>
      </c>
      <c r="B888" s="4">
        <f>153.9387 * CHOOSE(CONTROL!$C$9, $C$13, 100%, $E$13) + CHOOSE(CONTROL!$C$28, 0.0311, 0)</f>
        <v>153.96980000000002</v>
      </c>
      <c r="C888" s="4">
        <f>153.5755 * CHOOSE(CONTROL!$C$9, $C$13, 100%, $E$13) + CHOOSE(CONTROL!$C$28, 0.0311, 0)</f>
        <v>153.60660000000001</v>
      </c>
      <c r="D888" s="4">
        <f>120.771 * CHOOSE(CONTROL!$C$9, $C$13, 100%, $E$13) + CHOOSE(CONTROL!$C$28, 0, 0)</f>
        <v>120.771</v>
      </c>
      <c r="E888" s="4">
        <f>851.744927939126 * CHOOSE(CONTROL!$C$9, $C$13, 100%, $E$13) + CHOOSE(CONTROL!$C$28, 0, 0)</f>
        <v>851.744927939126</v>
      </c>
    </row>
    <row r="889" spans="1:5" ht="15">
      <c r="A889" s="13">
        <v>68575</v>
      </c>
      <c r="B889" s="4">
        <f>147.835 * CHOOSE(CONTROL!$C$9, $C$13, 100%, $E$13) + CHOOSE(CONTROL!$C$28, 0.0311, 0)</f>
        <v>147.86610000000002</v>
      </c>
      <c r="C889" s="4">
        <f>147.4717 * CHOOSE(CONTROL!$C$9, $C$13, 100%, $E$13) + CHOOSE(CONTROL!$C$28, 0.0311, 0)</f>
        <v>147.50280000000001</v>
      </c>
      <c r="D889" s="4">
        <f>120.1622 * CHOOSE(CONTROL!$C$9, $C$13, 100%, $E$13) + CHOOSE(CONTROL!$C$28, 0, 0)</f>
        <v>120.1622</v>
      </c>
      <c r="E889" s="4">
        <f>817.80216805155 * CHOOSE(CONTROL!$C$9, $C$13, 100%, $E$13) + CHOOSE(CONTROL!$C$28, 0, 0)</f>
        <v>817.80216805154998</v>
      </c>
    </row>
    <row r="890" spans="1:5" ht="15">
      <c r="A890" s="13">
        <v>68606</v>
      </c>
      <c r="B890" s="4">
        <f>142.9488 * CHOOSE(CONTROL!$C$9, $C$13, 100%, $E$13) + CHOOSE(CONTROL!$C$28, 0.0003, 0)</f>
        <v>142.94910000000002</v>
      </c>
      <c r="C890" s="4">
        <f>142.5855 * CHOOSE(CONTROL!$C$9, $C$13, 100%, $E$13) + CHOOSE(CONTROL!$C$28, 0.0003, 0)</f>
        <v>142.58580000000001</v>
      </c>
      <c r="D890" s="4">
        <f>118.532 * CHOOSE(CONTROL!$C$9, $C$13, 100%, $E$13) + CHOOSE(CONTROL!$C$28, 0, 0)</f>
        <v>118.532</v>
      </c>
      <c r="E890" s="4">
        <f>790.630316081768 * CHOOSE(CONTROL!$C$9, $C$13, 100%, $E$13) + CHOOSE(CONTROL!$C$28, 0, 0)</f>
        <v>790.630316081768</v>
      </c>
    </row>
    <row r="891" spans="1:5" ht="15">
      <c r="A891" s="13">
        <v>68636</v>
      </c>
      <c r="B891" s="4">
        <f>139.8017 * CHOOSE(CONTROL!$C$9, $C$13, 100%, $E$13) + CHOOSE(CONTROL!$C$28, 0.0003, 0)</f>
        <v>139.80200000000002</v>
      </c>
      <c r="C891" s="4">
        <f>139.4384 * CHOOSE(CONTROL!$C$9, $C$13, 100%, $E$13) + CHOOSE(CONTROL!$C$28, 0.0003, 0)</f>
        <v>139.43870000000001</v>
      </c>
      <c r="D891" s="4">
        <f>117.9715 * CHOOSE(CONTROL!$C$9, $C$13, 100%, $E$13) + CHOOSE(CONTROL!$C$28, 0, 0)</f>
        <v>117.97150000000001</v>
      </c>
      <c r="E891" s="4">
        <f>773.12961434636 * CHOOSE(CONTROL!$C$9, $C$13, 100%, $E$13) + CHOOSE(CONTROL!$C$28, 0, 0)</f>
        <v>773.12961434635997</v>
      </c>
    </row>
    <row r="892" spans="1:5" ht="15">
      <c r="A892" s="13">
        <v>68667</v>
      </c>
      <c r="B892" s="4">
        <f>137.6244 * CHOOSE(CONTROL!$C$9, $C$13, 100%, $E$13) + CHOOSE(CONTROL!$C$28, 0.0003, 0)</f>
        <v>137.62470000000002</v>
      </c>
      <c r="C892" s="4">
        <f>137.2611 * CHOOSE(CONTROL!$C$9, $C$13, 100%, $E$13) + CHOOSE(CONTROL!$C$28, 0.0003, 0)</f>
        <v>137.26140000000001</v>
      </c>
      <c r="D892" s="4">
        <f>113.8454 * CHOOSE(CONTROL!$C$9, $C$13, 100%, $E$13) + CHOOSE(CONTROL!$C$28, 0, 0)</f>
        <v>113.8454</v>
      </c>
      <c r="E892" s="4">
        <f>761.021378363073 * CHOOSE(CONTROL!$C$9, $C$13, 100%, $E$13) + CHOOSE(CONTROL!$C$28, 0, 0)</f>
        <v>761.02137836307304</v>
      </c>
    </row>
    <row r="893" spans="1:5" ht="15">
      <c r="A893" s="13">
        <v>68698</v>
      </c>
      <c r="B893" s="4">
        <f>134.0866 * CHOOSE(CONTROL!$C$9, $C$13, 100%, $E$13) + CHOOSE(CONTROL!$C$28, 0.0003, 0)</f>
        <v>134.08690000000001</v>
      </c>
      <c r="C893" s="4">
        <f>133.7233 * CHOOSE(CONTROL!$C$9, $C$13, 100%, $E$13) + CHOOSE(CONTROL!$C$28, 0.0003, 0)</f>
        <v>133.7236</v>
      </c>
      <c r="D893" s="4">
        <f>110.0531 * CHOOSE(CONTROL!$C$9, $C$13, 100%, $E$13) + CHOOSE(CONTROL!$C$28, 0, 0)</f>
        <v>110.0531</v>
      </c>
      <c r="E893" s="4">
        <f>739.198185253386 * CHOOSE(CONTROL!$C$9, $C$13, 100%, $E$13) + CHOOSE(CONTROL!$C$28, 0, 0)</f>
        <v>739.19818525338599</v>
      </c>
    </row>
    <row r="894" spans="1:5" ht="15">
      <c r="A894" s="13">
        <v>68727</v>
      </c>
      <c r="B894" s="4">
        <f>137.252 * CHOOSE(CONTROL!$C$9, $C$13, 100%, $E$13) + CHOOSE(CONTROL!$C$28, 0.0003, 0)</f>
        <v>137.25230000000002</v>
      </c>
      <c r="C894" s="4">
        <f>136.8887 * CHOOSE(CONTROL!$C$9, $C$13, 100%, $E$13) + CHOOSE(CONTROL!$C$28, 0.0003, 0)</f>
        <v>136.88900000000001</v>
      </c>
      <c r="D894" s="4">
        <f>113.8719 * CHOOSE(CONTROL!$C$9, $C$13, 100%, $E$13) + CHOOSE(CONTROL!$C$28, 0, 0)</f>
        <v>113.8719</v>
      </c>
      <c r="E894" s="4">
        <f>756.749663284408 * CHOOSE(CONTROL!$C$9, $C$13, 100%, $E$13) + CHOOSE(CONTROL!$C$28, 0, 0)</f>
        <v>756.74966328440803</v>
      </c>
    </row>
    <row r="895" spans="1:5" ht="15">
      <c r="A895" s="13">
        <v>68758</v>
      </c>
      <c r="B895" s="4">
        <f>145.5644 * CHOOSE(CONTROL!$C$9, $C$13, 100%, $E$13) + CHOOSE(CONTROL!$C$28, 0.0003, 0)</f>
        <v>145.56470000000002</v>
      </c>
      <c r="C895" s="4">
        <f>145.2011 * CHOOSE(CONTROL!$C$9, $C$13, 100%, $E$13) + CHOOSE(CONTROL!$C$28, 0.0003, 0)</f>
        <v>145.20140000000001</v>
      </c>
      <c r="D895" s="4">
        <f>119.8501 * CHOOSE(CONTROL!$C$9, $C$13, 100%, $E$13) + CHOOSE(CONTROL!$C$28, 0, 0)</f>
        <v>119.8501</v>
      </c>
      <c r="E895" s="4">
        <f>802.840777336062 * CHOOSE(CONTROL!$C$9, $C$13, 100%, $E$13) + CHOOSE(CONTROL!$C$28, 0, 0)</f>
        <v>802.84077733606205</v>
      </c>
    </row>
    <row r="896" spans="1:5" ht="15">
      <c r="A896" s="13">
        <v>68788</v>
      </c>
      <c r="B896" s="4">
        <f>151.4705 * CHOOSE(CONTROL!$C$9, $C$13, 100%, $E$13) + CHOOSE(CONTROL!$C$28, 0.0003, 0)</f>
        <v>151.4708</v>
      </c>
      <c r="C896" s="4">
        <f>151.1073 * CHOOSE(CONTROL!$C$9, $C$13, 100%, $E$13) + CHOOSE(CONTROL!$C$28, 0.0003, 0)</f>
        <v>151.10760000000002</v>
      </c>
      <c r="D896" s="4">
        <f>123.2936 * CHOOSE(CONTROL!$C$9, $C$13, 100%, $E$13) + CHOOSE(CONTROL!$C$28, 0, 0)</f>
        <v>123.2936</v>
      </c>
      <c r="E896" s="4">
        <f>835.589128114619 * CHOOSE(CONTROL!$C$9, $C$13, 100%, $E$13) + CHOOSE(CONTROL!$C$28, 0, 0)</f>
        <v>835.58912811461903</v>
      </c>
    </row>
    <row r="897" spans="1:5" ht="15">
      <c r="A897" s="13">
        <v>68819</v>
      </c>
      <c r="B897" s="4">
        <f>155.079 * CHOOSE(CONTROL!$C$9, $C$13, 100%, $E$13) + CHOOSE(CONTROL!$C$28, 0.0311, 0)</f>
        <v>155.11010000000002</v>
      </c>
      <c r="C897" s="4">
        <f>154.7157 * CHOOSE(CONTROL!$C$9, $C$13, 100%, $E$13) + CHOOSE(CONTROL!$C$28, 0.0311, 0)</f>
        <v>154.74680000000001</v>
      </c>
      <c r="D897" s="4">
        <f>121.9329 * CHOOSE(CONTROL!$C$9, $C$13, 100%, $E$13) + CHOOSE(CONTROL!$C$28, 0, 0)</f>
        <v>121.9329</v>
      </c>
      <c r="E897" s="4">
        <f>855.597585571889 * CHOOSE(CONTROL!$C$9, $C$13, 100%, $E$13) + CHOOSE(CONTROL!$C$28, 0, 0)</f>
        <v>855.597585571889</v>
      </c>
    </row>
    <row r="898" spans="1:5" ht="15">
      <c r="A898" s="13">
        <v>68849</v>
      </c>
      <c r="B898" s="4">
        <f>155.5673 * CHOOSE(CONTROL!$C$9, $C$13, 100%, $E$13) + CHOOSE(CONTROL!$C$28, 0.0311, 0)</f>
        <v>155.5984</v>
      </c>
      <c r="C898" s="4">
        <f>155.204 * CHOOSE(CONTROL!$C$9, $C$13, 100%, $E$13) + CHOOSE(CONTROL!$C$28, 0.0311, 0)</f>
        <v>155.23510000000002</v>
      </c>
      <c r="D898" s="4">
        <f>123.0411 * CHOOSE(CONTROL!$C$9, $C$13, 100%, $E$13) + CHOOSE(CONTROL!$C$28, 0, 0)</f>
        <v>123.0411</v>
      </c>
      <c r="E898" s="4">
        <f>858.304812902662 * CHOOSE(CONTROL!$C$9, $C$13, 100%, $E$13) + CHOOSE(CONTROL!$C$28, 0, 0)</f>
        <v>858.30481290266198</v>
      </c>
    </row>
    <row r="899" spans="1:5" ht="15">
      <c r="A899" s="13">
        <v>68880</v>
      </c>
      <c r="B899" s="4">
        <f>155.518 * CHOOSE(CONTROL!$C$9, $C$13, 100%, $E$13) + CHOOSE(CONTROL!$C$28, 0.0311, 0)</f>
        <v>155.54910000000001</v>
      </c>
      <c r="C899" s="4">
        <f>155.1548 * CHOOSE(CONTROL!$C$9, $C$13, 100%, $E$13) + CHOOSE(CONTROL!$C$28, 0.0311, 0)</f>
        <v>155.1859</v>
      </c>
      <c r="D899" s="4">
        <f>125.0408 * CHOOSE(CONTROL!$C$9, $C$13, 100%, $E$13) + CHOOSE(CONTROL!$C$28, 0, 0)</f>
        <v>125.0408</v>
      </c>
      <c r="E899" s="4">
        <f>858.031815188634 * CHOOSE(CONTROL!$C$9, $C$13, 100%, $E$13) + CHOOSE(CONTROL!$C$28, 0, 0)</f>
        <v>858.03181518863403</v>
      </c>
    </row>
    <row r="900" spans="1:5" ht="15">
      <c r="A900" s="13">
        <v>68911</v>
      </c>
      <c r="B900" s="4">
        <f>159.2229 * CHOOSE(CONTROL!$C$9, $C$13, 100%, $E$13) + CHOOSE(CONTROL!$C$28, 0.0311, 0)</f>
        <v>159.25400000000002</v>
      </c>
      <c r="C900" s="4">
        <f>158.8597 * CHOOSE(CONTROL!$C$9, $C$13, 100%, $E$13) + CHOOSE(CONTROL!$C$28, 0.0311, 0)</f>
        <v>158.89080000000001</v>
      </c>
      <c r="D900" s="4">
        <f>123.7202 * CHOOSE(CONTROL!$C$9, $C$13, 100%, $E$13) + CHOOSE(CONTROL!$C$28, 0, 0)</f>
        <v>123.72020000000001</v>
      </c>
      <c r="E900" s="4">
        <f>878.574893169209 * CHOOSE(CONTROL!$C$9, $C$13, 100%, $E$13) + CHOOSE(CONTROL!$C$28, 0, 0)</f>
        <v>878.57489316920896</v>
      </c>
    </row>
    <row r="901" spans="1:5" ht="15">
      <c r="A901" s="13">
        <v>68941</v>
      </c>
      <c r="B901" s="4">
        <f>152.9086 * CHOOSE(CONTROL!$C$9, $C$13, 100%, $E$13) + CHOOSE(CONTROL!$C$28, 0.0311, 0)</f>
        <v>152.93970000000002</v>
      </c>
      <c r="C901" s="4">
        <f>152.5453 * CHOOSE(CONTROL!$C$9, $C$13, 100%, $E$13) + CHOOSE(CONTROL!$C$28, 0.0311, 0)</f>
        <v>152.57640000000001</v>
      </c>
      <c r="D901" s="4">
        <f>123.0963 * CHOOSE(CONTROL!$C$9, $C$13, 100%, $E$13) + CHOOSE(CONTROL!$C$28, 0, 0)</f>
        <v>123.0963</v>
      </c>
      <c r="E901" s="4">
        <f>843.562936345174 * CHOOSE(CONTROL!$C$9, $C$13, 100%, $E$13) + CHOOSE(CONTROL!$C$28, 0, 0)</f>
        <v>843.56293634517397</v>
      </c>
    </row>
    <row r="902" spans="1:5" ht="15">
      <c r="A902" s="13">
        <v>68972</v>
      </c>
      <c r="B902" s="4">
        <f>147.8538 * CHOOSE(CONTROL!$C$9, $C$13, 100%, $E$13) + CHOOSE(CONTROL!$C$28, 0.0003, 0)</f>
        <v>147.85410000000002</v>
      </c>
      <c r="C902" s="4">
        <f>147.4906 * CHOOSE(CONTROL!$C$9, $C$13, 100%, $E$13) + CHOOSE(CONTROL!$C$28, 0.0003, 0)</f>
        <v>147.49090000000001</v>
      </c>
      <c r="D902" s="4">
        <f>121.4256 * CHOOSE(CONTROL!$C$9, $C$13, 100%, $E$13) + CHOOSE(CONTROL!$C$28, 0, 0)</f>
        <v>121.4256</v>
      </c>
      <c r="E902" s="4">
        <f>815.535171038344 * CHOOSE(CONTROL!$C$9, $C$13, 100%, $E$13) + CHOOSE(CONTROL!$C$28, 0, 0)</f>
        <v>815.53517103834395</v>
      </c>
    </row>
    <row r="903" spans="1:5" ht="15">
      <c r="A903" s="13">
        <v>69002</v>
      </c>
      <c r="B903" s="4">
        <f>144.5982 * CHOOSE(CONTROL!$C$9, $C$13, 100%, $E$13) + CHOOSE(CONTROL!$C$28, 0.0003, 0)</f>
        <v>144.5985</v>
      </c>
      <c r="C903" s="4">
        <f>144.2349 * CHOOSE(CONTROL!$C$9, $C$13, 100%, $E$13) + CHOOSE(CONTROL!$C$28, 0.0003, 0)</f>
        <v>144.23520000000002</v>
      </c>
      <c r="D903" s="4">
        <f>120.8513 * CHOOSE(CONTROL!$C$9, $C$13, 100%, $E$13) + CHOOSE(CONTROL!$C$28, 0, 0)</f>
        <v>120.85129999999999</v>
      </c>
      <c r="E903" s="4">
        <f>797.483197198271 * CHOOSE(CONTROL!$C$9, $C$13, 100%, $E$13) + CHOOSE(CONTROL!$C$28, 0, 0)</f>
        <v>797.483197198271</v>
      </c>
    </row>
    <row r="904" spans="1:5" ht="15">
      <c r="A904" s="13">
        <v>69033</v>
      </c>
      <c r="B904" s="4">
        <f>142.3457 * CHOOSE(CONTROL!$C$9, $C$13, 100%, $E$13) + CHOOSE(CONTROL!$C$28, 0.0003, 0)</f>
        <v>142.346</v>
      </c>
      <c r="C904" s="4">
        <f>141.9824 * CHOOSE(CONTROL!$C$9, $C$13, 100%, $E$13) + CHOOSE(CONTROL!$C$28, 0.0003, 0)</f>
        <v>141.98270000000002</v>
      </c>
      <c r="D904" s="4">
        <f>116.6228 * CHOOSE(CONTROL!$C$9, $C$13, 100%, $E$13) + CHOOSE(CONTROL!$C$28, 0, 0)</f>
        <v>116.6228</v>
      </c>
      <c r="E904" s="4">
        <f>784.99355178151 * CHOOSE(CONTROL!$C$9, $C$13, 100%, $E$13) + CHOOSE(CONTROL!$C$28, 0, 0)</f>
        <v>784.99355178150995</v>
      </c>
    </row>
    <row r="905" spans="1:5" ht="15">
      <c r="A905" s="13">
        <v>69064</v>
      </c>
      <c r="B905" s="4">
        <f>138.6859 * CHOOSE(CONTROL!$C$9, $C$13, 100%, $E$13) + CHOOSE(CONTROL!$C$28, 0.0003, 0)</f>
        <v>138.68620000000001</v>
      </c>
      <c r="C905" s="4">
        <f>138.3226 * CHOOSE(CONTROL!$C$9, $C$13, 100%, $E$13) + CHOOSE(CONTROL!$C$28, 0.0003, 0)</f>
        <v>138.3229</v>
      </c>
      <c r="D905" s="4">
        <f>112.7365 * CHOOSE(CONTROL!$C$9, $C$13, 100%, $E$13) + CHOOSE(CONTROL!$C$28, 0, 0)</f>
        <v>112.73650000000001</v>
      </c>
      <c r="E905" s="4">
        <f>762.482928088868 * CHOOSE(CONTROL!$C$9, $C$13, 100%, $E$13) + CHOOSE(CONTROL!$C$28, 0, 0)</f>
        <v>762.48292808886799</v>
      </c>
    </row>
    <row r="906" spans="1:5" ht="15">
      <c r="A906" s="13">
        <v>69092</v>
      </c>
      <c r="B906" s="4">
        <f>141.9605 * CHOOSE(CONTROL!$C$9, $C$13, 100%, $E$13) + CHOOSE(CONTROL!$C$28, 0.0003, 0)</f>
        <v>141.96080000000001</v>
      </c>
      <c r="C906" s="4">
        <f>141.5972 * CHOOSE(CONTROL!$C$9, $C$13, 100%, $E$13) + CHOOSE(CONTROL!$C$28, 0.0003, 0)</f>
        <v>141.5975</v>
      </c>
      <c r="D906" s="4">
        <f>116.65 * CHOOSE(CONTROL!$C$9, $C$13, 100%, $E$13) + CHOOSE(CONTROL!$C$28, 0, 0)</f>
        <v>116.65</v>
      </c>
      <c r="E906" s="4">
        <f>780.587277677867 * CHOOSE(CONTROL!$C$9, $C$13, 100%, $E$13) + CHOOSE(CONTROL!$C$28, 0, 0)</f>
        <v>780.58727767786695</v>
      </c>
    </row>
    <row r="907" spans="1:5" ht="15">
      <c r="A907" s="13">
        <v>69123</v>
      </c>
      <c r="B907" s="4">
        <f>150.5597 * CHOOSE(CONTROL!$C$9, $C$13, 100%, $E$13) + CHOOSE(CONTROL!$C$28, 0.0003, 0)</f>
        <v>150.56</v>
      </c>
      <c r="C907" s="4">
        <f>150.1964 * CHOOSE(CONTROL!$C$9, $C$13, 100%, $E$13) + CHOOSE(CONTROL!$C$28, 0.0003, 0)</f>
        <v>150.19670000000002</v>
      </c>
      <c r="D907" s="4">
        <f>122.7764 * CHOOSE(CONTROL!$C$9, $C$13, 100%, $E$13) + CHOOSE(CONTROL!$C$28, 0, 0)</f>
        <v>122.7764</v>
      </c>
      <c r="E907" s="4">
        <f>828.130261822148 * CHOOSE(CONTROL!$C$9, $C$13, 100%, $E$13) + CHOOSE(CONTROL!$C$28, 0, 0)</f>
        <v>828.13026182214799</v>
      </c>
    </row>
    <row r="908" spans="1:5" ht="15">
      <c r="A908" s="13">
        <v>69153</v>
      </c>
      <c r="B908" s="4">
        <f>156.6696 * CHOOSE(CONTROL!$C$9, $C$13, 100%, $E$13) + CHOOSE(CONTROL!$C$28, 0.0003, 0)</f>
        <v>156.66990000000001</v>
      </c>
      <c r="C908" s="4">
        <f>156.3063 * CHOOSE(CONTROL!$C$9, $C$13, 100%, $E$13) + CHOOSE(CONTROL!$C$28, 0.0003, 0)</f>
        <v>156.3066</v>
      </c>
      <c r="D908" s="4">
        <f>126.3054 * CHOOSE(CONTROL!$C$9, $C$13, 100%, $E$13) + CHOOSE(CONTROL!$C$28, 0, 0)</f>
        <v>126.30540000000001</v>
      </c>
      <c r="E908" s="4">
        <f>861.910185650229 * CHOOSE(CONTROL!$C$9, $C$13, 100%, $E$13) + CHOOSE(CONTROL!$C$28, 0, 0)</f>
        <v>861.91018565022898</v>
      </c>
    </row>
    <row r="909" spans="1:5" ht="15">
      <c r="A909" s="13">
        <v>69184</v>
      </c>
      <c r="B909" s="4">
        <f>160.4026 * CHOOSE(CONTROL!$C$9, $C$13, 100%, $E$13) + CHOOSE(CONTROL!$C$28, 0.0311, 0)</f>
        <v>160.43370000000002</v>
      </c>
      <c r="C909" s="4">
        <f>160.0393 * CHOOSE(CONTROL!$C$9, $C$13, 100%, $E$13) + CHOOSE(CONTROL!$C$28, 0.0311, 0)</f>
        <v>160.07040000000001</v>
      </c>
      <c r="D909" s="4">
        <f>124.9109 * CHOOSE(CONTROL!$C$9, $C$13, 100%, $E$13) + CHOOSE(CONTROL!$C$28, 0, 0)</f>
        <v>124.9109</v>
      </c>
      <c r="E909" s="4">
        <f>882.548909517403 * CHOOSE(CONTROL!$C$9, $C$13, 100%, $E$13) + CHOOSE(CONTROL!$C$28, 0, 0)</f>
        <v>882.54890951740299</v>
      </c>
    </row>
    <row r="910" spans="1:5" ht="15">
      <c r="A910" s="13">
        <v>69214</v>
      </c>
      <c r="B910" s="4">
        <f>160.9077 * CHOOSE(CONTROL!$C$9, $C$13, 100%, $E$13) + CHOOSE(CONTROL!$C$28, 0.0311, 0)</f>
        <v>160.93880000000001</v>
      </c>
      <c r="C910" s="4">
        <f>160.5444 * CHOOSE(CONTROL!$C$9, $C$13, 100%, $E$13) + CHOOSE(CONTROL!$C$28, 0.0311, 0)</f>
        <v>160.57550000000001</v>
      </c>
      <c r="D910" s="4">
        <f>126.0466 * CHOOSE(CONTROL!$C$9, $C$13, 100%, $E$13) + CHOOSE(CONTROL!$C$28, 0, 0)</f>
        <v>126.0466</v>
      </c>
      <c r="E910" s="4">
        <f>885.341414509096 * CHOOSE(CONTROL!$C$9, $C$13, 100%, $E$13) + CHOOSE(CONTROL!$C$28, 0, 0)</f>
        <v>885.34141450909601</v>
      </c>
    </row>
    <row r="911" spans="1:5" ht="15">
      <c r="A911" s="13">
        <v>69245</v>
      </c>
      <c r="B911" s="4">
        <f>160.8567 * CHOOSE(CONTROL!$C$9, $C$13, 100%, $E$13) + CHOOSE(CONTROL!$C$28, 0.0311, 0)</f>
        <v>160.8878</v>
      </c>
      <c r="C911" s="4">
        <f>160.4934 * CHOOSE(CONTROL!$C$9, $C$13, 100%, $E$13) + CHOOSE(CONTROL!$C$28, 0.0311, 0)</f>
        <v>160.52450000000002</v>
      </c>
      <c r="D911" s="4">
        <f>128.0958 * CHOOSE(CONTROL!$C$9, $C$13, 100%, $E$13) + CHOOSE(CONTROL!$C$28, 0, 0)</f>
        <v>128.0958</v>
      </c>
      <c r="E911" s="4">
        <f>885.059817367077 * CHOOSE(CONTROL!$C$9, $C$13, 100%, $E$13) + CHOOSE(CONTROL!$C$28, 0, 0)</f>
        <v>885.05981736707702</v>
      </c>
    </row>
    <row r="912" spans="1:5" ht="15">
      <c r="A912" s="13">
        <v>69276</v>
      </c>
      <c r="B912" s="4">
        <f>164.6895 * CHOOSE(CONTROL!$C$9, $C$13, 100%, $E$13) + CHOOSE(CONTROL!$C$28, 0.0311, 0)</f>
        <v>164.72060000000002</v>
      </c>
      <c r="C912" s="4">
        <f>164.3262 * CHOOSE(CONTROL!$C$9, $C$13, 100%, $E$13) + CHOOSE(CONTROL!$C$28, 0.0311, 0)</f>
        <v>164.35730000000001</v>
      </c>
      <c r="D912" s="4">
        <f>126.7425 * CHOOSE(CONTROL!$C$9, $C$13, 100%, $E$13) + CHOOSE(CONTROL!$C$28, 0, 0)</f>
        <v>126.74250000000001</v>
      </c>
      <c r="E912" s="4">
        <f>906.250002304039 * CHOOSE(CONTROL!$C$9, $C$13, 100%, $E$13) + CHOOSE(CONTROL!$C$28, 0, 0)</f>
        <v>906.25000230403896</v>
      </c>
    </row>
    <row r="913" spans="1:5" ht="15">
      <c r="A913" s="13">
        <v>69306</v>
      </c>
      <c r="B913" s="4">
        <f>158.1573 * CHOOSE(CONTROL!$C$9, $C$13, 100%, $E$13) + CHOOSE(CONTROL!$C$28, 0.0311, 0)</f>
        <v>158.1884</v>
      </c>
      <c r="C913" s="4">
        <f>157.794 * CHOOSE(CONTROL!$C$9, $C$13, 100%, $E$13) + CHOOSE(CONTROL!$C$28, 0.0311, 0)</f>
        <v>157.82510000000002</v>
      </c>
      <c r="D913" s="4">
        <f>126.1031 * CHOOSE(CONTROL!$C$9, $C$13, 100%, $E$13) + CHOOSE(CONTROL!$C$28, 0, 0)</f>
        <v>126.1031</v>
      </c>
      <c r="E913" s="4">
        <f>870.135168840047 * CHOOSE(CONTROL!$C$9, $C$13, 100%, $E$13) + CHOOSE(CONTROL!$C$28, 0, 0)</f>
        <v>870.13516884004696</v>
      </c>
    </row>
    <row r="914" spans="1:5" ht="15">
      <c r="A914" s="13">
        <v>69337</v>
      </c>
      <c r="B914" s="4">
        <f>152.9281 * CHOOSE(CONTROL!$C$9, $C$13, 100%, $E$13) + CHOOSE(CONTROL!$C$28, 0.0003, 0)</f>
        <v>152.92840000000001</v>
      </c>
      <c r="C914" s="4">
        <f>152.5648 * CHOOSE(CONTROL!$C$9, $C$13, 100%, $E$13) + CHOOSE(CONTROL!$C$28, 0.0003, 0)</f>
        <v>152.5651</v>
      </c>
      <c r="D914" s="4">
        <f>124.3911 * CHOOSE(CONTROL!$C$9, $C$13, 100%, $E$13) + CHOOSE(CONTROL!$C$28, 0, 0)</f>
        <v>124.39109999999999</v>
      </c>
      <c r="E914" s="4">
        <f>841.224528926052 * CHOOSE(CONTROL!$C$9, $C$13, 100%, $E$13) + CHOOSE(CONTROL!$C$28, 0, 0)</f>
        <v>841.22452892605202</v>
      </c>
    </row>
    <row r="915" spans="1:5" ht="15">
      <c r="A915" s="13">
        <v>69367</v>
      </c>
      <c r="B915" s="4">
        <f>149.5602 * CHOOSE(CONTROL!$C$9, $C$13, 100%, $E$13) + CHOOSE(CONTROL!$C$28, 0.0003, 0)</f>
        <v>149.56050000000002</v>
      </c>
      <c r="C915" s="4">
        <f>149.1969 * CHOOSE(CONTROL!$C$9, $C$13, 100%, $E$13) + CHOOSE(CONTROL!$C$28, 0.0003, 0)</f>
        <v>149.19720000000001</v>
      </c>
      <c r="D915" s="4">
        <f>123.8025 * CHOOSE(CONTROL!$C$9, $C$13, 100%, $E$13) + CHOOSE(CONTROL!$C$28, 0, 0)</f>
        <v>123.80249999999999</v>
      </c>
      <c r="E915" s="4">
        <f>822.603917910017 * CHOOSE(CONTROL!$C$9, $C$13, 100%, $E$13) + CHOOSE(CONTROL!$C$28, 0, 0)</f>
        <v>822.603917910017</v>
      </c>
    </row>
    <row r="916" spans="1:5" ht="15">
      <c r="A916" s="13">
        <v>69398</v>
      </c>
      <c r="B916" s="4">
        <f>147.23 * CHOOSE(CONTROL!$C$9, $C$13, 100%, $E$13) + CHOOSE(CONTROL!$C$28, 0.0003, 0)</f>
        <v>147.2303</v>
      </c>
      <c r="C916" s="4">
        <f>146.8667 * CHOOSE(CONTROL!$C$9, $C$13, 100%, $E$13) + CHOOSE(CONTROL!$C$28, 0.0003, 0)</f>
        <v>146.86700000000002</v>
      </c>
      <c r="D916" s="4">
        <f>119.4691 * CHOOSE(CONTROL!$C$9, $C$13, 100%, $E$13) + CHOOSE(CONTROL!$C$28, 0, 0)</f>
        <v>119.4691</v>
      </c>
      <c r="E916" s="4">
        <f>809.720848662628 * CHOOSE(CONTROL!$C$9, $C$13, 100%, $E$13) + CHOOSE(CONTROL!$C$28, 0, 0)</f>
        <v>809.72084866262799</v>
      </c>
    </row>
    <row r="917" spans="1:5" ht="15">
      <c r="A917" s="13">
        <v>69429</v>
      </c>
      <c r="B917" s="4">
        <f>143.4439 * CHOOSE(CONTROL!$C$9, $C$13, 100%, $E$13) + CHOOSE(CONTROL!$C$28, 0.0003, 0)</f>
        <v>143.44420000000002</v>
      </c>
      <c r="C917" s="4">
        <f>143.0806 * CHOOSE(CONTROL!$C$9, $C$13, 100%, $E$13) + CHOOSE(CONTROL!$C$28, 0.0003, 0)</f>
        <v>143.08090000000001</v>
      </c>
      <c r="D917" s="4">
        <f>115.4864 * CHOOSE(CONTROL!$C$9, $C$13, 100%, $E$13) + CHOOSE(CONTROL!$C$28, 0, 0)</f>
        <v>115.4864</v>
      </c>
      <c r="E917" s="4">
        <f>786.501140323667 * CHOOSE(CONTROL!$C$9, $C$13, 100%, $E$13) + CHOOSE(CONTROL!$C$28, 0, 0)</f>
        <v>786.50114032366696</v>
      </c>
    </row>
    <row r="918" spans="1:5" ht="15">
      <c r="A918" s="13">
        <v>69457</v>
      </c>
      <c r="B918" s="4">
        <f>146.8314 * CHOOSE(CONTROL!$C$9, $C$13, 100%, $E$13) + CHOOSE(CONTROL!$C$28, 0.0003, 0)</f>
        <v>146.83170000000001</v>
      </c>
      <c r="C918" s="4">
        <f>146.4682 * CHOOSE(CONTROL!$C$9, $C$13, 100%, $E$13) + CHOOSE(CONTROL!$C$28, 0.0003, 0)</f>
        <v>146.46850000000001</v>
      </c>
      <c r="D918" s="4">
        <f>119.497 * CHOOSE(CONTROL!$C$9, $C$13, 100%, $E$13) + CHOOSE(CONTROL!$C$28, 0, 0)</f>
        <v>119.497</v>
      </c>
      <c r="E918" s="4">
        <f>805.17577692472 * CHOOSE(CONTROL!$C$9, $C$13, 100%, $E$13) + CHOOSE(CONTROL!$C$28, 0, 0)</f>
        <v>805.17577692472003</v>
      </c>
    </row>
    <row r="919" spans="1:5" ht="15">
      <c r="A919" s="13">
        <v>69488</v>
      </c>
      <c r="B919" s="4">
        <f>155.7273 * CHOOSE(CONTROL!$C$9, $C$13, 100%, $E$13) + CHOOSE(CONTROL!$C$28, 0.0003, 0)</f>
        <v>155.72760000000002</v>
      </c>
      <c r="C919" s="4">
        <f>155.3641 * CHOOSE(CONTROL!$C$9, $C$13, 100%, $E$13) + CHOOSE(CONTROL!$C$28, 0.0003, 0)</f>
        <v>155.36440000000002</v>
      </c>
      <c r="D919" s="4">
        <f>125.7754 * CHOOSE(CONTROL!$C$9, $C$13, 100%, $E$13) + CHOOSE(CONTROL!$C$28, 0, 0)</f>
        <v>125.7754</v>
      </c>
      <c r="E919" s="4">
        <f>854.216365069546 * CHOOSE(CONTROL!$C$9, $C$13, 100%, $E$13) + CHOOSE(CONTROL!$C$28, 0, 0)</f>
        <v>854.21636506954599</v>
      </c>
    </row>
    <row r="920" spans="1:5" ht="15">
      <c r="A920" s="13">
        <v>69518</v>
      </c>
      <c r="B920" s="4">
        <f>162.048 * CHOOSE(CONTROL!$C$9, $C$13, 100%, $E$13) + CHOOSE(CONTROL!$C$28, 0.0003, 0)</f>
        <v>162.04830000000001</v>
      </c>
      <c r="C920" s="4">
        <f>161.6847 * CHOOSE(CONTROL!$C$9, $C$13, 100%, $E$13) + CHOOSE(CONTROL!$C$28, 0.0003, 0)</f>
        <v>161.685</v>
      </c>
      <c r="D920" s="4">
        <f>129.3919 * CHOOSE(CONTROL!$C$9, $C$13, 100%, $E$13) + CHOOSE(CONTROL!$C$28, 0, 0)</f>
        <v>129.39189999999999</v>
      </c>
      <c r="E920" s="4">
        <f>889.060356498211 * CHOOSE(CONTROL!$C$9, $C$13, 100%, $E$13) + CHOOSE(CONTROL!$C$28, 0, 0)</f>
        <v>889.06035649821104</v>
      </c>
    </row>
    <row r="921" spans="1:5" ht="15">
      <c r="A921" s="13">
        <v>69549</v>
      </c>
      <c r="B921" s="4">
        <f>165.9098 * CHOOSE(CONTROL!$C$9, $C$13, 100%, $E$13) + CHOOSE(CONTROL!$C$28, 0.0311, 0)</f>
        <v>165.9409</v>
      </c>
      <c r="C921" s="4">
        <f>165.5465 * CHOOSE(CONTROL!$C$9, $C$13, 100%, $E$13) + CHOOSE(CONTROL!$C$28, 0.0311, 0)</f>
        <v>165.57760000000002</v>
      </c>
      <c r="D921" s="4">
        <f>127.9628 * CHOOSE(CONTROL!$C$9, $C$13, 100%, $E$13) + CHOOSE(CONTROL!$C$28, 0, 0)</f>
        <v>127.9628</v>
      </c>
      <c r="E921" s="4">
        <f>910.349200167202 * CHOOSE(CONTROL!$C$9, $C$13, 100%, $E$13) + CHOOSE(CONTROL!$C$28, 0, 0)</f>
        <v>910.34920016720196</v>
      </c>
    </row>
    <row r="922" spans="1:5" ht="15">
      <c r="A922" s="13">
        <v>69579</v>
      </c>
      <c r="B922" s="4">
        <f>166.4323 * CHOOSE(CONTROL!$C$9, $C$13, 100%, $E$13) + CHOOSE(CONTROL!$C$28, 0.0311, 0)</f>
        <v>166.46340000000001</v>
      </c>
      <c r="C922" s="4">
        <f>166.069 * CHOOSE(CONTROL!$C$9, $C$13, 100%, $E$13) + CHOOSE(CONTROL!$C$28, 0.0311, 0)</f>
        <v>166.1001</v>
      </c>
      <c r="D922" s="4">
        <f>129.1266 * CHOOSE(CONTROL!$C$9, $C$13, 100%, $E$13) + CHOOSE(CONTROL!$C$28, 0, 0)</f>
        <v>129.1266</v>
      </c>
      <c r="E922" s="4">
        <f>913.229669066132 * CHOOSE(CONTROL!$C$9, $C$13, 100%, $E$13) + CHOOSE(CONTROL!$C$28, 0, 0)</f>
        <v>913.22966906613203</v>
      </c>
    </row>
    <row r="923" spans="1:5" ht="15">
      <c r="A923" s="13">
        <v>69610</v>
      </c>
      <c r="B923" s="4">
        <f>166.3796 * CHOOSE(CONTROL!$C$9, $C$13, 100%, $E$13) + CHOOSE(CONTROL!$C$28, 0.0311, 0)</f>
        <v>166.41070000000002</v>
      </c>
      <c r="C923" s="4">
        <f>166.0163 * CHOOSE(CONTROL!$C$9, $C$13, 100%, $E$13) + CHOOSE(CONTROL!$C$28, 0.0311, 0)</f>
        <v>166.04740000000001</v>
      </c>
      <c r="D923" s="4">
        <f>131.2267 * CHOOSE(CONTROL!$C$9, $C$13, 100%, $E$13) + CHOOSE(CONTROL!$C$28, 0, 0)</f>
        <v>131.22669999999999</v>
      </c>
      <c r="E923" s="4">
        <f>912.93920161414 * CHOOSE(CONTROL!$C$9, $C$13, 100%, $E$13) + CHOOSE(CONTROL!$C$28, 0, 0)</f>
        <v>912.93920161413996</v>
      </c>
    </row>
    <row r="924" spans="1:5" ht="15">
      <c r="A924" s="13">
        <v>69641</v>
      </c>
      <c r="B924" s="4">
        <f>170.3446 * CHOOSE(CONTROL!$C$9, $C$13, 100%, $E$13) + CHOOSE(CONTROL!$C$28, 0.0311, 0)</f>
        <v>170.37570000000002</v>
      </c>
      <c r="C924" s="4">
        <f>169.9813 * CHOOSE(CONTROL!$C$9, $C$13, 100%, $E$13) + CHOOSE(CONTROL!$C$28, 0.0311, 0)</f>
        <v>170.01240000000001</v>
      </c>
      <c r="D924" s="4">
        <f>129.8398 * CHOOSE(CONTROL!$C$9, $C$13, 100%, $E$13) + CHOOSE(CONTROL!$C$28, 0, 0)</f>
        <v>129.8398</v>
      </c>
      <c r="E924" s="4">
        <f>934.796877376616 * CHOOSE(CONTROL!$C$9, $C$13, 100%, $E$13) + CHOOSE(CONTROL!$C$28, 0, 0)</f>
        <v>934.79687737661595</v>
      </c>
    </row>
    <row r="925" spans="1:5" ht="15">
      <c r="A925" s="13">
        <v>69671</v>
      </c>
      <c r="B925" s="4">
        <f>163.587 * CHOOSE(CONTROL!$C$9, $C$13, 100%, $E$13) + CHOOSE(CONTROL!$C$28, 0.0311, 0)</f>
        <v>163.6181</v>
      </c>
      <c r="C925" s="4">
        <f>163.2237 * CHOOSE(CONTROL!$C$9, $C$13, 100%, $E$13) + CHOOSE(CONTROL!$C$28, 0.0311, 0)</f>
        <v>163.25480000000002</v>
      </c>
      <c r="D925" s="4">
        <f>129.1845 * CHOOSE(CONTROL!$C$9, $C$13, 100%, $E$13) + CHOOSE(CONTROL!$C$28, 0, 0)</f>
        <v>129.18450000000001</v>
      </c>
      <c r="E925" s="4">
        <f>897.544426658508 * CHOOSE(CONTROL!$C$9, $C$13, 100%, $E$13) + CHOOSE(CONTROL!$C$28, 0, 0)</f>
        <v>897.54442665850797</v>
      </c>
    </row>
    <row r="926" spans="1:5" ht="15">
      <c r="A926" s="13">
        <v>69702</v>
      </c>
      <c r="B926" s="4">
        <f>158.1775 * CHOOSE(CONTROL!$C$9, $C$13, 100%, $E$13) + CHOOSE(CONTROL!$C$28, 0.0003, 0)</f>
        <v>158.17780000000002</v>
      </c>
      <c r="C926" s="4">
        <f>157.8142 * CHOOSE(CONTROL!$C$9, $C$13, 100%, $E$13) + CHOOSE(CONTROL!$C$28, 0.0003, 0)</f>
        <v>157.81450000000001</v>
      </c>
      <c r="D926" s="4">
        <f>127.43 * CHOOSE(CONTROL!$C$9, $C$13, 100%, $E$13) + CHOOSE(CONTROL!$C$28, 0, 0)</f>
        <v>127.43</v>
      </c>
      <c r="E926" s="4">
        <f>867.723101587222 * CHOOSE(CONTROL!$C$9, $C$13, 100%, $E$13) + CHOOSE(CONTROL!$C$28, 0, 0)</f>
        <v>867.723101587222</v>
      </c>
    </row>
    <row r="927" spans="1:5" ht="15">
      <c r="A927" s="13">
        <v>69732</v>
      </c>
      <c r="B927" s="4">
        <f>154.6933 * CHOOSE(CONTROL!$C$9, $C$13, 100%, $E$13) + CHOOSE(CONTROL!$C$28, 0.0003, 0)</f>
        <v>154.6936</v>
      </c>
      <c r="C927" s="4">
        <f>154.33 * CHOOSE(CONTROL!$C$9, $C$13, 100%, $E$13) + CHOOSE(CONTROL!$C$28, 0.0003, 0)</f>
        <v>154.33030000000002</v>
      </c>
      <c r="D927" s="4">
        <f>126.8268 * CHOOSE(CONTROL!$C$9, $C$13, 100%, $E$13) + CHOOSE(CONTROL!$C$28, 0, 0)</f>
        <v>126.82680000000001</v>
      </c>
      <c r="E927" s="4">
        <f>848.515941324182 * CHOOSE(CONTROL!$C$9, $C$13, 100%, $E$13) + CHOOSE(CONTROL!$C$28, 0, 0)</f>
        <v>848.51594132418199</v>
      </c>
    </row>
    <row r="928" spans="1:5" ht="15">
      <c r="A928" s="13">
        <v>69763</v>
      </c>
      <c r="B928" s="4">
        <f>152.2827 * CHOOSE(CONTROL!$C$9, $C$13, 100%, $E$13) + CHOOSE(CONTROL!$C$28, 0.0003, 0)</f>
        <v>152.28300000000002</v>
      </c>
      <c r="C928" s="4">
        <f>151.9194 * CHOOSE(CONTROL!$C$9, $C$13, 100%, $E$13) + CHOOSE(CONTROL!$C$28, 0.0003, 0)</f>
        <v>151.91970000000001</v>
      </c>
      <c r="D928" s="4">
        <f>122.386 * CHOOSE(CONTROL!$C$9, $C$13, 100%, $E$13) + CHOOSE(CONTROL!$C$28, 0, 0)</f>
        <v>122.386</v>
      </c>
      <c r="E928" s="4">
        <f>835.2270553955 * CHOOSE(CONTROL!$C$9, $C$13, 100%, $E$13) + CHOOSE(CONTROL!$C$28, 0, 0)</f>
        <v>835.22705539549997</v>
      </c>
    </row>
    <row r="929" spans="1:5" ht="15">
      <c r="A929" s="13">
        <v>69794</v>
      </c>
      <c r="B929" s="4">
        <f>148.366 * CHOOSE(CONTROL!$C$9, $C$13, 100%, $E$13) + CHOOSE(CONTROL!$C$28, 0.0003, 0)</f>
        <v>148.36630000000002</v>
      </c>
      <c r="C929" s="4">
        <f>148.0027 * CHOOSE(CONTROL!$C$9, $C$13, 100%, $E$13) + CHOOSE(CONTROL!$C$28, 0.0003, 0)</f>
        <v>148.00300000000001</v>
      </c>
      <c r="D929" s="4">
        <f>118.3046 * CHOOSE(CONTROL!$C$9, $C$13, 100%, $E$13) + CHOOSE(CONTROL!$C$28, 0, 0)</f>
        <v>118.30459999999999</v>
      </c>
      <c r="E929" s="4">
        <f>811.275926243863 * CHOOSE(CONTROL!$C$9, $C$13, 100%, $E$13) + CHOOSE(CONTROL!$C$28, 0, 0)</f>
        <v>811.27592624386295</v>
      </c>
    </row>
    <row r="930" spans="1:5" ht="15">
      <c r="A930" s="13">
        <v>69822</v>
      </c>
      <c r="B930" s="4">
        <f>151.8704 * CHOOSE(CONTROL!$C$9, $C$13, 100%, $E$13) + CHOOSE(CONTROL!$C$28, 0.0003, 0)</f>
        <v>151.8707</v>
      </c>
      <c r="C930" s="4">
        <f>151.5072 * CHOOSE(CONTROL!$C$9, $C$13, 100%, $E$13) + CHOOSE(CONTROL!$C$28, 0.0003, 0)</f>
        <v>151.50750000000002</v>
      </c>
      <c r="D930" s="4">
        <f>122.4146 * CHOOSE(CONTROL!$C$9, $C$13, 100%, $E$13) + CHOOSE(CONTROL!$C$28, 0, 0)</f>
        <v>122.41459999999999</v>
      </c>
      <c r="E930" s="4">
        <f>830.538813897849 * CHOOSE(CONTROL!$C$9, $C$13, 100%, $E$13) + CHOOSE(CONTROL!$C$28, 0, 0)</f>
        <v>830.53881389784897</v>
      </c>
    </row>
    <row r="931" spans="1:5" ht="15">
      <c r="A931" s="13">
        <v>69853</v>
      </c>
      <c r="B931" s="4">
        <f>161.0733 * CHOOSE(CONTROL!$C$9, $C$13, 100%, $E$13) + CHOOSE(CONTROL!$C$28, 0.0003, 0)</f>
        <v>161.0736</v>
      </c>
      <c r="C931" s="4">
        <f>160.71 * CHOOSE(CONTROL!$C$9, $C$13, 100%, $E$13) + CHOOSE(CONTROL!$C$28, 0.0003, 0)</f>
        <v>160.71030000000002</v>
      </c>
      <c r="D931" s="4">
        <f>128.8487 * CHOOSE(CONTROL!$C$9, $C$13, 100%, $E$13) + CHOOSE(CONTROL!$C$28, 0, 0)</f>
        <v>128.84870000000001</v>
      </c>
      <c r="E931" s="4">
        <f>881.124180569236 * CHOOSE(CONTROL!$C$9, $C$13, 100%, $E$13) + CHOOSE(CONTROL!$C$28, 0, 0)</f>
        <v>881.12418056923605</v>
      </c>
    </row>
    <row r="932" spans="1:5" ht="15">
      <c r="A932" s="13">
        <v>69883</v>
      </c>
      <c r="B932" s="4">
        <f>167.612 * CHOOSE(CONTROL!$C$9, $C$13, 100%, $E$13) + CHOOSE(CONTROL!$C$28, 0.0003, 0)</f>
        <v>167.6123</v>
      </c>
      <c r="C932" s="4">
        <f>167.2487 * CHOOSE(CONTROL!$C$9, $C$13, 100%, $E$13) + CHOOSE(CONTROL!$C$28, 0.0003, 0)</f>
        <v>167.24900000000002</v>
      </c>
      <c r="D932" s="4">
        <f>132.5548 * CHOOSE(CONTROL!$C$9, $C$13, 100%, $E$13) + CHOOSE(CONTROL!$C$28, 0, 0)</f>
        <v>132.5548</v>
      </c>
      <c r="E932" s="4">
        <f>917.065757727905 * CHOOSE(CONTROL!$C$9, $C$13, 100%, $E$13) + CHOOSE(CONTROL!$C$28, 0, 0)</f>
        <v>917.06575772790495</v>
      </c>
    </row>
    <row r="933" spans="1:5" ht="15">
      <c r="A933" s="13">
        <v>69914</v>
      </c>
      <c r="B933" s="4">
        <f>171.607 * CHOOSE(CONTROL!$C$9, $C$13, 100%, $E$13) + CHOOSE(CONTROL!$C$28, 0.0311, 0)</f>
        <v>171.63810000000001</v>
      </c>
      <c r="C933" s="4">
        <f>171.2437 * CHOOSE(CONTROL!$C$9, $C$13, 100%, $E$13) + CHOOSE(CONTROL!$C$28, 0.0311, 0)</f>
        <v>171.2748</v>
      </c>
      <c r="D933" s="4">
        <f>131.0903 * CHOOSE(CONTROL!$C$9, $C$13, 100%, $E$13) + CHOOSE(CONTROL!$C$28, 0, 0)</f>
        <v>131.09030000000001</v>
      </c>
      <c r="E933" s="4">
        <f>939.025199972469 * CHOOSE(CONTROL!$C$9, $C$13, 100%, $E$13) + CHOOSE(CONTROL!$C$28, 0, 0)</f>
        <v>939.02519997246895</v>
      </c>
    </row>
    <row r="934" spans="1:5" ht="15">
      <c r="A934" s="13">
        <v>69944</v>
      </c>
      <c r="B934" s="4">
        <f>172.1475 * CHOOSE(CONTROL!$C$9, $C$13, 100%, $E$13) + CHOOSE(CONTROL!$C$28, 0.0311, 0)</f>
        <v>172.17860000000002</v>
      </c>
      <c r="C934" s="4">
        <f>171.7842 * CHOOSE(CONTROL!$C$9, $C$13, 100%, $E$13) + CHOOSE(CONTROL!$C$28, 0.0311, 0)</f>
        <v>171.81530000000001</v>
      </c>
      <c r="D934" s="4">
        <f>132.2831 * CHOOSE(CONTROL!$C$9, $C$13, 100%, $E$13) + CHOOSE(CONTROL!$C$28, 0, 0)</f>
        <v>132.28309999999999</v>
      </c>
      <c r="E934" s="4">
        <f>941.996403641716 * CHOOSE(CONTROL!$C$9, $C$13, 100%, $E$13) + CHOOSE(CONTROL!$C$28, 0, 0)</f>
        <v>941.99640364171603</v>
      </c>
    </row>
    <row r="935" spans="1:5" ht="15">
      <c r="A935" s="13">
        <v>69975</v>
      </c>
      <c r="B935" s="4">
        <f>172.093 * CHOOSE(CONTROL!$C$9, $C$13, 100%, $E$13) + CHOOSE(CONTROL!$C$28, 0.0311, 0)</f>
        <v>172.1241</v>
      </c>
      <c r="C935" s="4">
        <f>171.7297 * CHOOSE(CONTROL!$C$9, $C$13, 100%, $E$13) + CHOOSE(CONTROL!$C$28, 0.0311, 0)</f>
        <v>171.76080000000002</v>
      </c>
      <c r="D935" s="4">
        <f>134.4352 * CHOOSE(CONTROL!$C$9, $C$13, 100%, $E$13) + CHOOSE(CONTROL!$C$28, 0, 0)</f>
        <v>134.43520000000001</v>
      </c>
      <c r="E935" s="4">
        <f>941.696786464985 * CHOOSE(CONTROL!$C$9, $C$13, 100%, $E$13) + CHOOSE(CONTROL!$C$28, 0, 0)</f>
        <v>941.69678646498505</v>
      </c>
    </row>
    <row r="936" spans="1:5" ht="15">
      <c r="A936" s="13">
        <v>70006</v>
      </c>
      <c r="B936" s="4">
        <f>176.1948 * CHOOSE(CONTROL!$C$9, $C$13, 100%, $E$13) + CHOOSE(CONTROL!$C$28, 0.0311, 0)</f>
        <v>176.2259</v>
      </c>
      <c r="C936" s="4">
        <f>175.8315 * CHOOSE(CONTROL!$C$9, $C$13, 100%, $E$13) + CHOOSE(CONTROL!$C$28, 0.0311, 0)</f>
        <v>175.86260000000001</v>
      </c>
      <c r="D936" s="4">
        <f>133.0139 * CHOOSE(CONTROL!$C$9, $C$13, 100%, $E$13) + CHOOSE(CONTROL!$C$28, 0, 0)</f>
        <v>133.01390000000001</v>
      </c>
      <c r="E936" s="4">
        <f>964.24297901398 * CHOOSE(CONTROL!$C$9, $C$13, 100%, $E$13) + CHOOSE(CONTROL!$C$28, 0, 0)</f>
        <v>964.24297901397995</v>
      </c>
    </row>
    <row r="937" spans="1:5" ht="15">
      <c r="A937" s="13">
        <v>70036</v>
      </c>
      <c r="B937" s="4">
        <f>169.2041 * CHOOSE(CONTROL!$C$9, $C$13, 100%, $E$13) + CHOOSE(CONTROL!$C$28, 0.0311, 0)</f>
        <v>169.23520000000002</v>
      </c>
      <c r="C937" s="4">
        <f>168.8408 * CHOOSE(CONTROL!$C$9, $C$13, 100%, $E$13) + CHOOSE(CONTROL!$C$28, 0.0311, 0)</f>
        <v>168.87190000000001</v>
      </c>
      <c r="D937" s="4">
        <f>132.3424 * CHOOSE(CONTROL!$C$9, $C$13, 100%, $E$13) + CHOOSE(CONTROL!$C$28, 0, 0)</f>
        <v>132.3424</v>
      </c>
      <c r="E937" s="4">
        <f>925.817076098252 * CHOOSE(CONTROL!$C$9, $C$13, 100%, $E$13) + CHOOSE(CONTROL!$C$28, 0, 0)</f>
        <v>925.81707609825196</v>
      </c>
    </row>
    <row r="938" spans="1:5" ht="15">
      <c r="A938" s="13">
        <v>70067</v>
      </c>
      <c r="B938" s="4">
        <f>163.6079 * CHOOSE(CONTROL!$C$9, $C$13, 100%, $E$13) + CHOOSE(CONTROL!$C$28, 0.0003, 0)</f>
        <v>163.60820000000001</v>
      </c>
      <c r="C938" s="4">
        <f>163.2446 * CHOOSE(CONTROL!$C$9, $C$13, 100%, $E$13) + CHOOSE(CONTROL!$C$28, 0.0003, 0)</f>
        <v>163.2449</v>
      </c>
      <c r="D938" s="4">
        <f>130.5444 * CHOOSE(CONTROL!$C$9, $C$13, 100%, $E$13) + CHOOSE(CONTROL!$C$28, 0, 0)</f>
        <v>130.5444</v>
      </c>
      <c r="E938" s="4">
        <f>895.05637928722 * CHOOSE(CONTROL!$C$9, $C$13, 100%, $E$13) + CHOOSE(CONTROL!$C$28, 0, 0)</f>
        <v>895.05637928722001</v>
      </c>
    </row>
    <row r="939" spans="1:5" ht="15">
      <c r="A939" s="13">
        <v>70097</v>
      </c>
      <c r="B939" s="4">
        <f>160.0035 * CHOOSE(CONTROL!$C$9, $C$13, 100%, $E$13) + CHOOSE(CONTROL!$C$28, 0.0003, 0)</f>
        <v>160.00380000000001</v>
      </c>
      <c r="C939" s="4">
        <f>159.6402 * CHOOSE(CONTROL!$C$9, $C$13, 100%, $E$13) + CHOOSE(CONTROL!$C$28, 0.0003, 0)</f>
        <v>159.6405</v>
      </c>
      <c r="D939" s="4">
        <f>129.9262 * CHOOSE(CONTROL!$C$9, $C$13, 100%, $E$13) + CHOOSE(CONTROL!$C$28, 0, 0)</f>
        <v>129.92619999999999</v>
      </c>
      <c r="E939" s="4">
        <f>875.244193475894 * CHOOSE(CONTROL!$C$9, $C$13, 100%, $E$13) + CHOOSE(CONTROL!$C$28, 0, 0)</f>
        <v>875.24419347589401</v>
      </c>
    </row>
    <row r="940" spans="1:5" ht="15">
      <c r="A940" s="13">
        <v>70128</v>
      </c>
      <c r="B940" s="4">
        <f>157.5098 * CHOOSE(CONTROL!$C$9, $C$13, 100%, $E$13) + CHOOSE(CONTROL!$C$28, 0.0003, 0)</f>
        <v>157.51010000000002</v>
      </c>
      <c r="C940" s="4">
        <f>157.1465 * CHOOSE(CONTROL!$C$9, $C$13, 100%, $E$13) + CHOOSE(CONTROL!$C$28, 0.0003, 0)</f>
        <v>157.14680000000001</v>
      </c>
      <c r="D940" s="4">
        <f>125.3753 * CHOOSE(CONTROL!$C$9, $C$13, 100%, $E$13) + CHOOSE(CONTROL!$C$28, 0, 0)</f>
        <v>125.3753</v>
      </c>
      <c r="E940" s="4">
        <f>861.536707640459 * CHOOSE(CONTROL!$C$9, $C$13, 100%, $E$13) + CHOOSE(CONTROL!$C$28, 0, 0)</f>
        <v>861.53670764045899</v>
      </c>
    </row>
    <row r="941" spans="1:5" ht="15">
      <c r="A941" s="13">
        <v>70159</v>
      </c>
      <c r="B941" s="4">
        <f>153.458 * CHOOSE(CONTROL!$C$9, $C$13, 100%, $E$13) + CHOOSE(CONTROL!$C$28, 0.0003, 0)</f>
        <v>153.45830000000001</v>
      </c>
      <c r="C941" s="4">
        <f>153.0947 * CHOOSE(CONTROL!$C$9, $C$13, 100%, $E$13) + CHOOSE(CONTROL!$C$28, 0.0003, 0)</f>
        <v>153.095</v>
      </c>
      <c r="D941" s="4">
        <f>121.1926 * CHOOSE(CONTROL!$C$9, $C$13, 100%, $E$13) + CHOOSE(CONTROL!$C$28, 0, 0)</f>
        <v>121.1926</v>
      </c>
      <c r="E941" s="4">
        <f>836.831117920544 * CHOOSE(CONTROL!$C$9, $C$13, 100%, $E$13) + CHOOSE(CONTROL!$C$28, 0, 0)</f>
        <v>836.83111792054399</v>
      </c>
    </row>
    <row r="942" spans="1:5" ht="15">
      <c r="A942" s="13">
        <v>70188</v>
      </c>
      <c r="B942" s="4">
        <f>157.0833 * CHOOSE(CONTROL!$C$9, $C$13, 100%, $E$13) + CHOOSE(CONTROL!$C$28, 0.0003, 0)</f>
        <v>157.08360000000002</v>
      </c>
      <c r="C942" s="4">
        <f>156.72 * CHOOSE(CONTROL!$C$9, $C$13, 100%, $E$13) + CHOOSE(CONTROL!$C$28, 0.0003, 0)</f>
        <v>156.72030000000001</v>
      </c>
      <c r="D942" s="4">
        <f>125.4046 * CHOOSE(CONTROL!$C$9, $C$13, 100%, $E$13) + CHOOSE(CONTROL!$C$28, 0, 0)</f>
        <v>125.4046</v>
      </c>
      <c r="E942" s="4">
        <f>856.700786535631 * CHOOSE(CONTROL!$C$9, $C$13, 100%, $E$13) + CHOOSE(CONTROL!$C$28, 0, 0)</f>
        <v>856.70078653563098</v>
      </c>
    </row>
    <row r="943" spans="1:5" ht="15">
      <c r="A943" s="13">
        <v>70219</v>
      </c>
      <c r="B943" s="4">
        <f>166.6036 * CHOOSE(CONTROL!$C$9, $C$13, 100%, $E$13) + CHOOSE(CONTROL!$C$28, 0.0003, 0)</f>
        <v>166.60390000000001</v>
      </c>
      <c r="C943" s="4">
        <f>166.2403 * CHOOSE(CONTROL!$C$9, $C$13, 100%, $E$13) + CHOOSE(CONTROL!$C$28, 0.0003, 0)</f>
        <v>166.2406</v>
      </c>
      <c r="D943" s="4">
        <f>131.9982 * CHOOSE(CONTROL!$C$9, $C$13, 100%, $E$13) + CHOOSE(CONTROL!$C$28, 0, 0)</f>
        <v>131.9982</v>
      </c>
      <c r="E943" s="4">
        <f>908.879592257167 * CHOOSE(CONTROL!$C$9, $C$13, 100%, $E$13) + CHOOSE(CONTROL!$C$28, 0, 0)</f>
        <v>908.87959225716702</v>
      </c>
    </row>
    <row r="944" spans="1:5" ht="15">
      <c r="A944" s="13">
        <v>70249</v>
      </c>
      <c r="B944" s="4">
        <f>173.3679 * CHOOSE(CONTROL!$C$9, $C$13, 100%, $E$13) + CHOOSE(CONTROL!$C$28, 0.0003, 0)</f>
        <v>173.3682</v>
      </c>
      <c r="C944" s="4">
        <f>173.0046 * CHOOSE(CONTROL!$C$9, $C$13, 100%, $E$13) + CHOOSE(CONTROL!$C$28, 0.0003, 0)</f>
        <v>173.00490000000002</v>
      </c>
      <c r="D944" s="4">
        <f>135.7963 * CHOOSE(CONTROL!$C$9, $C$13, 100%, $E$13) + CHOOSE(CONTROL!$C$28, 0, 0)</f>
        <v>135.7963</v>
      </c>
      <c r="E944" s="4">
        <f>945.953329096334 * CHOOSE(CONTROL!$C$9, $C$13, 100%, $E$13) + CHOOSE(CONTROL!$C$28, 0, 0)</f>
        <v>945.95332909633396</v>
      </c>
    </row>
    <row r="945" spans="1:5" ht="15">
      <c r="A945" s="13">
        <v>70280</v>
      </c>
      <c r="B945" s="4">
        <f>177.5007 * CHOOSE(CONTROL!$C$9, $C$13, 100%, $E$13) + CHOOSE(CONTROL!$C$28, 0.0311, 0)</f>
        <v>177.5318</v>
      </c>
      <c r="C945" s="4">
        <f>177.1375 * CHOOSE(CONTROL!$C$9, $C$13, 100%, $E$13) + CHOOSE(CONTROL!$C$28, 0.0311, 0)</f>
        <v>177.1686</v>
      </c>
      <c r="D945" s="4">
        <f>134.2955 * CHOOSE(CONTROL!$C$9, $C$13, 100%, $E$13) + CHOOSE(CONTROL!$C$28, 0, 0)</f>
        <v>134.2955</v>
      </c>
      <c r="E945" s="4">
        <f>968.604493771601 * CHOOSE(CONTROL!$C$9, $C$13, 100%, $E$13) + CHOOSE(CONTROL!$C$28, 0, 0)</f>
        <v>968.60449377160103</v>
      </c>
    </row>
    <row r="946" spans="1:5" ht="15">
      <c r="A946" s="13">
        <v>70310</v>
      </c>
      <c r="B946" s="4">
        <f>178.0599 * CHOOSE(CONTROL!$C$9, $C$13, 100%, $E$13) + CHOOSE(CONTROL!$C$28, 0.0311, 0)</f>
        <v>178.09100000000001</v>
      </c>
      <c r="C946" s="4">
        <f>177.6966 * CHOOSE(CONTROL!$C$9, $C$13, 100%, $E$13) + CHOOSE(CONTROL!$C$28, 0.0311, 0)</f>
        <v>177.7277</v>
      </c>
      <c r="D946" s="4">
        <f>135.5178 * CHOOSE(CONTROL!$C$9, $C$13, 100%, $E$13) + CHOOSE(CONTROL!$C$28, 0, 0)</f>
        <v>135.51779999999999</v>
      </c>
      <c r="E946" s="4">
        <f>971.66929035643 * CHOOSE(CONTROL!$C$9, $C$13, 100%, $E$13) + CHOOSE(CONTROL!$C$28, 0, 0)</f>
        <v>971.66929035643</v>
      </c>
    </row>
    <row r="947" spans="1:5" ht="15">
      <c r="A947" s="13">
        <v>70341</v>
      </c>
      <c r="B947" s="4">
        <f>178.0035 * CHOOSE(CONTROL!$C$9, $C$13, 100%, $E$13) + CHOOSE(CONTROL!$C$28, 0.0311, 0)</f>
        <v>178.03460000000001</v>
      </c>
      <c r="C947" s="4">
        <f>177.6403 * CHOOSE(CONTROL!$C$9, $C$13, 100%, $E$13) + CHOOSE(CONTROL!$C$28, 0.0311, 0)</f>
        <v>177.67140000000001</v>
      </c>
      <c r="D947" s="4">
        <f>137.7233 * CHOOSE(CONTROL!$C$9, $C$13, 100%, $E$13) + CHOOSE(CONTROL!$C$28, 0, 0)</f>
        <v>137.72329999999999</v>
      </c>
      <c r="E947" s="4">
        <f>971.360235238632 * CHOOSE(CONTROL!$C$9, $C$13, 100%, $E$13) + CHOOSE(CONTROL!$C$28, 0, 0)</f>
        <v>971.36023523863196</v>
      </c>
    </row>
    <row r="948" spans="1:5" ht="15">
      <c r="A948" s="13">
        <v>70372</v>
      </c>
      <c r="B948" s="4">
        <f>182.2468 * CHOOSE(CONTROL!$C$9, $C$13, 100%, $E$13) + CHOOSE(CONTROL!$C$28, 0.0311, 0)</f>
        <v>182.27790000000002</v>
      </c>
      <c r="C948" s="4">
        <f>181.8835 * CHOOSE(CONTROL!$C$9, $C$13, 100%, $E$13) + CHOOSE(CONTROL!$C$28, 0.0311, 0)</f>
        <v>181.91460000000001</v>
      </c>
      <c r="D948" s="4">
        <f>136.2667 * CHOOSE(CONTROL!$C$9, $C$13, 100%, $E$13) + CHOOSE(CONTROL!$C$28, 0, 0)</f>
        <v>136.26669999999999</v>
      </c>
      <c r="E948" s="4">
        <f>994.61663285292 * CHOOSE(CONTROL!$C$9, $C$13, 100%, $E$13) + CHOOSE(CONTROL!$C$28, 0, 0)</f>
        <v>994.61663285292002</v>
      </c>
    </row>
    <row r="949" spans="1:5" ht="15">
      <c r="A949" s="13">
        <v>70402</v>
      </c>
      <c r="B949" s="4">
        <f>175.0149 * CHOOSE(CONTROL!$C$9, $C$13, 100%, $E$13) + CHOOSE(CONTROL!$C$28, 0.0311, 0)</f>
        <v>175.04600000000002</v>
      </c>
      <c r="C949" s="4">
        <f>174.6516 * CHOOSE(CONTROL!$C$9, $C$13, 100%, $E$13) + CHOOSE(CONTROL!$C$28, 0.0311, 0)</f>
        <v>174.68270000000001</v>
      </c>
      <c r="D949" s="4">
        <f>135.5786 * CHOOSE(CONTROL!$C$9, $C$13, 100%, $E$13) + CHOOSE(CONTROL!$C$28, 0, 0)</f>
        <v>135.57859999999999</v>
      </c>
      <c r="E949" s="4">
        <f>954.980313995346 * CHOOSE(CONTROL!$C$9, $C$13, 100%, $E$13) + CHOOSE(CONTROL!$C$28, 0, 0)</f>
        <v>954.98031399534602</v>
      </c>
    </row>
    <row r="950" spans="1:5" ht="15">
      <c r="A950" s="13">
        <v>70433</v>
      </c>
      <c r="B950" s="4">
        <f>169.2257 * CHOOSE(CONTROL!$C$9, $C$13, 100%, $E$13) + CHOOSE(CONTROL!$C$28, 0.0003, 0)</f>
        <v>169.226</v>
      </c>
      <c r="C950" s="4">
        <f>168.8624 * CHOOSE(CONTROL!$C$9, $C$13, 100%, $E$13) + CHOOSE(CONTROL!$C$28, 0.0003, 0)</f>
        <v>168.86270000000002</v>
      </c>
      <c r="D950" s="4">
        <f>133.736 * CHOOSE(CONTROL!$C$9, $C$13, 100%, $E$13) + CHOOSE(CONTROL!$C$28, 0, 0)</f>
        <v>133.73599999999999</v>
      </c>
      <c r="E950" s="4">
        <f>923.250655234767 * CHOOSE(CONTROL!$C$9, $C$13, 100%, $E$13) + CHOOSE(CONTROL!$C$28, 0, 0)</f>
        <v>923.25065523476701</v>
      </c>
    </row>
    <row r="951" spans="1:5" ht="15">
      <c r="A951" s="13">
        <v>70463</v>
      </c>
      <c r="B951" s="4">
        <f>165.497 * CHOOSE(CONTROL!$C$9, $C$13, 100%, $E$13) + CHOOSE(CONTROL!$C$28, 0.0003, 0)</f>
        <v>165.49730000000002</v>
      </c>
      <c r="C951" s="4">
        <f>165.1337 * CHOOSE(CONTROL!$C$9, $C$13, 100%, $E$13) + CHOOSE(CONTROL!$C$28, 0.0003, 0)</f>
        <v>165.13400000000001</v>
      </c>
      <c r="D951" s="4">
        <f>133.1025 * CHOOSE(CONTROL!$C$9, $C$13, 100%, $E$13) + CHOOSE(CONTROL!$C$28, 0, 0)</f>
        <v>133.10249999999999</v>
      </c>
      <c r="E951" s="4">
        <f>902.814385570385 * CHOOSE(CONTROL!$C$9, $C$13, 100%, $E$13) + CHOOSE(CONTROL!$C$28, 0, 0)</f>
        <v>902.81438557038496</v>
      </c>
    </row>
    <row r="952" spans="1:5" ht="15">
      <c r="A952" s="13">
        <v>70494</v>
      </c>
      <c r="B952" s="4">
        <f>162.9172 * CHOOSE(CONTROL!$C$9, $C$13, 100%, $E$13) + CHOOSE(CONTROL!$C$28, 0.0003, 0)</f>
        <v>162.91750000000002</v>
      </c>
      <c r="C952" s="4">
        <f>162.5539 * CHOOSE(CONTROL!$C$9, $C$13, 100%, $E$13) + CHOOSE(CONTROL!$C$28, 0.0003, 0)</f>
        <v>162.55420000000001</v>
      </c>
      <c r="D952" s="4">
        <f>128.4387 * CHOOSE(CONTROL!$C$9, $C$13, 100%, $E$13) + CHOOSE(CONTROL!$C$28, 0, 0)</f>
        <v>128.43870000000001</v>
      </c>
      <c r="E952" s="4">
        <f>888.675113931133 * CHOOSE(CONTROL!$C$9, $C$13, 100%, $E$13) + CHOOSE(CONTROL!$C$28, 0, 0)</f>
        <v>888.67511393113296</v>
      </c>
    </row>
    <row r="953" spans="1:5" ht="15">
      <c r="A953" s="13">
        <v>70525</v>
      </c>
      <c r="B953" s="4">
        <f>158.7256 * CHOOSE(CONTROL!$C$9, $C$13, 100%, $E$13) + CHOOSE(CONTROL!$C$28, 0.0003, 0)</f>
        <v>158.7259</v>
      </c>
      <c r="C953" s="4">
        <f>158.3623 * CHOOSE(CONTROL!$C$9, $C$13, 100%, $E$13) + CHOOSE(CONTROL!$C$28, 0.0003, 0)</f>
        <v>158.36260000000001</v>
      </c>
      <c r="D953" s="4">
        <f>124.1523 * CHOOSE(CONTROL!$C$9, $C$13, 100%, $E$13) + CHOOSE(CONTROL!$C$28, 0, 0)</f>
        <v>124.1523</v>
      </c>
      <c r="E953" s="4">
        <f>863.191298135042 * CHOOSE(CONTROL!$C$9, $C$13, 100%, $E$13) + CHOOSE(CONTROL!$C$28, 0, 0)</f>
        <v>863.19129813504196</v>
      </c>
    </row>
    <row r="954" spans="1:5" ht="15">
      <c r="A954" s="13">
        <v>70553</v>
      </c>
      <c r="B954" s="4">
        <f>162.476 * CHOOSE(CONTROL!$C$9, $C$13, 100%, $E$13) + CHOOSE(CONTROL!$C$28, 0.0003, 0)</f>
        <v>162.47630000000001</v>
      </c>
      <c r="C954" s="4">
        <f>162.1127 * CHOOSE(CONTROL!$C$9, $C$13, 100%, $E$13) + CHOOSE(CONTROL!$C$28, 0.0003, 0)</f>
        <v>162.113</v>
      </c>
      <c r="D954" s="4">
        <f>128.4687 * CHOOSE(CONTROL!$C$9, $C$13, 100%, $E$13) + CHOOSE(CONTROL!$C$28, 0, 0)</f>
        <v>128.46870000000001</v>
      </c>
      <c r="E954" s="4">
        <f>883.686861311504 * CHOOSE(CONTROL!$C$9, $C$13, 100%, $E$13) + CHOOSE(CONTROL!$C$28, 0, 0)</f>
        <v>883.686861311504</v>
      </c>
    </row>
    <row r="955" spans="1:5" ht="15">
      <c r="A955" s="13">
        <v>70584</v>
      </c>
      <c r="B955" s="4">
        <f>172.3247 * CHOOSE(CONTROL!$C$9, $C$13, 100%, $E$13) + CHOOSE(CONTROL!$C$28, 0.0003, 0)</f>
        <v>172.32500000000002</v>
      </c>
      <c r="C955" s="4">
        <f>171.9615 * CHOOSE(CONTROL!$C$9, $C$13, 100%, $E$13) + CHOOSE(CONTROL!$C$28, 0.0003, 0)</f>
        <v>171.96180000000001</v>
      </c>
      <c r="D955" s="4">
        <f>135.2258 * CHOOSE(CONTROL!$C$9, $C$13, 100%, $E$13) + CHOOSE(CONTROL!$C$28, 0, 0)</f>
        <v>135.22579999999999</v>
      </c>
      <c r="E955" s="4">
        <f>937.509299413268 * CHOOSE(CONTROL!$C$9, $C$13, 100%, $E$13) + CHOOSE(CONTROL!$C$28, 0, 0)</f>
        <v>937.50929941326797</v>
      </c>
    </row>
    <row r="956" spans="1:5" ht="15">
      <c r="A956" s="13">
        <v>70614</v>
      </c>
      <c r="B956" s="4">
        <f>179.3224 * CHOOSE(CONTROL!$C$9, $C$13, 100%, $E$13) + CHOOSE(CONTROL!$C$28, 0.0003, 0)</f>
        <v>179.3227</v>
      </c>
      <c r="C956" s="4">
        <f>178.9591 * CHOOSE(CONTROL!$C$9, $C$13, 100%, $E$13) + CHOOSE(CONTROL!$C$28, 0.0003, 0)</f>
        <v>178.95940000000002</v>
      </c>
      <c r="D956" s="4">
        <f>139.1181 * CHOOSE(CONTROL!$C$9, $C$13, 100%, $E$13) + CHOOSE(CONTROL!$C$28, 0, 0)</f>
        <v>139.1181</v>
      </c>
      <c r="E956" s="4">
        <f>975.750858962869 * CHOOSE(CONTROL!$C$9, $C$13, 100%, $E$13) + CHOOSE(CONTROL!$C$28, 0, 0)</f>
        <v>975.75085896286896</v>
      </c>
    </row>
    <row r="957" spans="1:5" ht="15">
      <c r="A957" s="13">
        <v>70645</v>
      </c>
      <c r="B957" s="4">
        <f>183.5978 * CHOOSE(CONTROL!$C$9, $C$13, 100%, $E$13) + CHOOSE(CONTROL!$C$28, 0.0311, 0)</f>
        <v>183.62890000000002</v>
      </c>
      <c r="C957" s="4">
        <f>183.2345 * CHOOSE(CONTROL!$C$9, $C$13, 100%, $E$13) + CHOOSE(CONTROL!$C$28, 0.0311, 0)</f>
        <v>183.26560000000001</v>
      </c>
      <c r="D957" s="4">
        <f>137.5801 * CHOOSE(CONTROL!$C$9, $C$13, 100%, $E$13) + CHOOSE(CONTROL!$C$28, 0, 0)</f>
        <v>137.58009999999999</v>
      </c>
      <c r="E957" s="4">
        <f>999.115535325407 * CHOOSE(CONTROL!$C$9, $C$13, 100%, $E$13) + CHOOSE(CONTROL!$C$28, 0, 0)</f>
        <v>999.115535325407</v>
      </c>
    </row>
    <row r="958" spans="1:5" ht="15">
      <c r="A958" s="13">
        <v>70675</v>
      </c>
      <c r="B958" s="4">
        <f>184.1763 * CHOOSE(CONTROL!$C$9, $C$13, 100%, $E$13) + CHOOSE(CONTROL!$C$28, 0.0311, 0)</f>
        <v>184.20740000000001</v>
      </c>
      <c r="C958" s="4">
        <f>183.813 * CHOOSE(CONTROL!$C$9, $C$13, 100%, $E$13) + CHOOSE(CONTROL!$C$28, 0.0311, 0)</f>
        <v>183.8441</v>
      </c>
      <c r="D958" s="4">
        <f>138.8327 * CHOOSE(CONTROL!$C$9, $C$13, 100%, $E$13) + CHOOSE(CONTROL!$C$28, 0, 0)</f>
        <v>138.83269999999999</v>
      </c>
      <c r="E958" s="4">
        <f>1002.27687300266 * CHOOSE(CONTROL!$C$9, $C$13, 100%, $E$13) + CHOOSE(CONTROL!$C$28, 0, 0)</f>
        <v>1002.27687300266</v>
      </c>
    </row>
    <row r="959" spans="1:5" ht="15">
      <c r="A959" s="13">
        <v>70706</v>
      </c>
      <c r="B959" s="4">
        <f>184.118 * CHOOSE(CONTROL!$C$9, $C$13, 100%, $E$13) + CHOOSE(CONTROL!$C$28, 0.0311, 0)</f>
        <v>184.1491</v>
      </c>
      <c r="C959" s="4">
        <f>183.7547 * CHOOSE(CONTROL!$C$9, $C$13, 100%, $E$13) + CHOOSE(CONTROL!$C$28, 0.0311, 0)</f>
        <v>183.78580000000002</v>
      </c>
      <c r="D959" s="4">
        <f>141.0929 * CHOOSE(CONTROL!$C$9, $C$13, 100%, $E$13) + CHOOSE(CONTROL!$C$28, 0, 0)</f>
        <v>141.09289999999999</v>
      </c>
      <c r="E959" s="4">
        <f>1001.95808264865 * CHOOSE(CONTROL!$C$9, $C$13, 100%, $E$13) + CHOOSE(CONTROL!$C$28, 0, 0)</f>
        <v>1001.95808264865</v>
      </c>
    </row>
    <row r="960" spans="1:5" ht="15">
      <c r="A960" s="13">
        <v>70737</v>
      </c>
      <c r="B960" s="4">
        <f>188.5076 * CHOOSE(CONTROL!$C$9, $C$13, 100%, $E$13) + CHOOSE(CONTROL!$C$28, 0.0311, 0)</f>
        <v>188.53870000000001</v>
      </c>
      <c r="C960" s="4">
        <f>188.1443 * CHOOSE(CONTROL!$C$9, $C$13, 100%, $E$13) + CHOOSE(CONTROL!$C$28, 0.0311, 0)</f>
        <v>188.1754</v>
      </c>
      <c r="D960" s="4">
        <f>139.6002 * CHOOSE(CONTROL!$C$9, $C$13, 100%, $E$13) + CHOOSE(CONTROL!$C$28, 0, 0)</f>
        <v>139.6002</v>
      </c>
      <c r="E960" s="4">
        <f>1025.94705678779 * CHOOSE(CONTROL!$C$9, $C$13, 100%, $E$13) + CHOOSE(CONTROL!$C$28, 0, 0)</f>
        <v>1025.94705678779</v>
      </c>
    </row>
    <row r="961" spans="1:5" ht="15">
      <c r="A961" s="13">
        <v>70767</v>
      </c>
      <c r="B961" s="4">
        <f>181.0263 * CHOOSE(CONTROL!$C$9, $C$13, 100%, $E$13) + CHOOSE(CONTROL!$C$28, 0.0311, 0)</f>
        <v>181.0574</v>
      </c>
      <c r="C961" s="4">
        <f>180.663 * CHOOSE(CONTROL!$C$9, $C$13, 100%, $E$13) + CHOOSE(CONTROL!$C$28, 0.0311, 0)</f>
        <v>180.69410000000002</v>
      </c>
      <c r="D961" s="4">
        <f>138.895 * CHOOSE(CONTROL!$C$9, $C$13, 100%, $E$13) + CHOOSE(CONTROL!$C$28, 0, 0)</f>
        <v>138.89500000000001</v>
      </c>
      <c r="E961" s="4">
        <f>985.0621938862 * CHOOSE(CONTROL!$C$9, $C$13, 100%, $E$13) + CHOOSE(CONTROL!$C$28, 0, 0)</f>
        <v>985.06219388620002</v>
      </c>
    </row>
    <row r="962" spans="1:5" ht="15">
      <c r="A962" s="13">
        <v>70798</v>
      </c>
      <c r="B962" s="4">
        <f>175.0373 * CHOOSE(CONTROL!$C$9, $C$13, 100%, $E$13) + CHOOSE(CONTROL!$C$28, 0.0003, 0)</f>
        <v>175.0376</v>
      </c>
      <c r="C962" s="4">
        <f>174.674 * CHOOSE(CONTROL!$C$9, $C$13, 100%, $E$13) + CHOOSE(CONTROL!$C$28, 0.0003, 0)</f>
        <v>174.67430000000002</v>
      </c>
      <c r="D962" s="4">
        <f>137.0067 * CHOOSE(CONTROL!$C$9, $C$13, 100%, $E$13) + CHOOSE(CONTROL!$C$28, 0, 0)</f>
        <v>137.0067</v>
      </c>
      <c r="E962" s="4">
        <f>952.333050874663 * CHOOSE(CONTROL!$C$9, $C$13, 100%, $E$13) + CHOOSE(CONTROL!$C$28, 0, 0)</f>
        <v>952.33305087466294</v>
      </c>
    </row>
    <row r="963" spans="1:5" ht="15">
      <c r="A963" s="13">
        <v>70828</v>
      </c>
      <c r="B963" s="4">
        <f>171.1799 * CHOOSE(CONTROL!$C$9, $C$13, 100%, $E$13) + CHOOSE(CONTROL!$C$28, 0.0003, 0)</f>
        <v>171.18020000000001</v>
      </c>
      <c r="C963" s="4">
        <f>170.8166 * CHOOSE(CONTROL!$C$9, $C$13, 100%, $E$13) + CHOOSE(CONTROL!$C$28, 0.0003, 0)</f>
        <v>170.8169</v>
      </c>
      <c r="D963" s="4">
        <f>136.3575 * CHOOSE(CONTROL!$C$9, $C$13, 100%, $E$13) + CHOOSE(CONTROL!$C$28, 0, 0)</f>
        <v>136.35749999999999</v>
      </c>
      <c r="E963" s="4">
        <f>931.253038715852 * CHOOSE(CONTROL!$C$9, $C$13, 100%, $E$13) + CHOOSE(CONTROL!$C$28, 0, 0)</f>
        <v>931.25303871585197</v>
      </c>
    </row>
    <row r="964" spans="1:5" ht="15">
      <c r="A964" s="13">
        <v>70859</v>
      </c>
      <c r="B964" s="4">
        <f>168.5111 * CHOOSE(CONTROL!$C$9, $C$13, 100%, $E$13) + CHOOSE(CONTROL!$C$28, 0.0003, 0)</f>
        <v>168.51140000000001</v>
      </c>
      <c r="C964" s="4">
        <f>168.1479 * CHOOSE(CONTROL!$C$9, $C$13, 100%, $E$13) + CHOOSE(CONTROL!$C$28, 0.0003, 0)</f>
        <v>168.1482</v>
      </c>
      <c r="D964" s="4">
        <f>131.578 * CHOOSE(CONTROL!$C$9, $C$13, 100%, $E$13) + CHOOSE(CONTROL!$C$28, 0, 0)</f>
        <v>131.578</v>
      </c>
      <c r="E964" s="4">
        <f>916.668380019964 * CHOOSE(CONTROL!$C$9, $C$13, 100%, $E$13) + CHOOSE(CONTROL!$C$28, 0, 0)</f>
        <v>916.66838001996405</v>
      </c>
    </row>
    <row r="965" spans="1:5" ht="15">
      <c r="A965" s="13">
        <v>70890</v>
      </c>
      <c r="B965" s="4">
        <f>164.1749 * CHOOSE(CONTROL!$C$9, $C$13, 100%, $E$13) + CHOOSE(CONTROL!$C$28, 0.0003, 0)</f>
        <v>164.17520000000002</v>
      </c>
      <c r="C965" s="4">
        <f>163.8116 * CHOOSE(CONTROL!$C$9, $C$13, 100%, $E$13) + CHOOSE(CONTROL!$C$28, 0.0003, 0)</f>
        <v>163.81190000000001</v>
      </c>
      <c r="D965" s="4">
        <f>127.1853 * CHOOSE(CONTROL!$C$9, $C$13, 100%, $E$13) + CHOOSE(CONTROL!$C$28, 0, 0)</f>
        <v>127.1853</v>
      </c>
      <c r="E965" s="4">
        <f>890.381824026295 * CHOOSE(CONTROL!$C$9, $C$13, 100%, $E$13) + CHOOSE(CONTROL!$C$28, 0, 0)</f>
        <v>890.38182402629502</v>
      </c>
    </row>
    <row r="966" spans="1:5" ht="15">
      <c r="A966" s="13">
        <v>70918</v>
      </c>
      <c r="B966" s="4">
        <f>168.0547 * CHOOSE(CONTROL!$C$9, $C$13, 100%, $E$13) + CHOOSE(CONTROL!$C$28, 0.0003, 0)</f>
        <v>168.05500000000001</v>
      </c>
      <c r="C966" s="4">
        <f>167.6914 * CHOOSE(CONTROL!$C$9, $C$13, 100%, $E$13) + CHOOSE(CONTROL!$C$28, 0.0003, 0)</f>
        <v>167.6917</v>
      </c>
      <c r="D966" s="4">
        <f>131.6088 * CHOOSE(CONTROL!$C$9, $C$13, 100%, $E$13) + CHOOSE(CONTROL!$C$28, 0, 0)</f>
        <v>131.6088</v>
      </c>
      <c r="E966" s="4">
        <f>911.522997442816 * CHOOSE(CONTROL!$C$9, $C$13, 100%, $E$13) + CHOOSE(CONTROL!$C$28, 0, 0)</f>
        <v>911.52299744281595</v>
      </c>
    </row>
    <row r="967" spans="1:5" ht="15">
      <c r="A967" s="13">
        <v>70949</v>
      </c>
      <c r="B967" s="4">
        <f>178.2433 * CHOOSE(CONTROL!$C$9, $C$13, 100%, $E$13) + CHOOSE(CONTROL!$C$28, 0.0003, 0)</f>
        <v>178.24360000000001</v>
      </c>
      <c r="C967" s="4">
        <f>177.88 * CHOOSE(CONTROL!$C$9, $C$13, 100%, $E$13) + CHOOSE(CONTROL!$C$28, 0.0003, 0)</f>
        <v>177.88030000000001</v>
      </c>
      <c r="D967" s="4">
        <f>138.5335 * CHOOSE(CONTROL!$C$9, $C$13, 100%, $E$13) + CHOOSE(CONTROL!$C$28, 0, 0)</f>
        <v>138.5335</v>
      </c>
      <c r="E967" s="4">
        <f>967.040842344786 * CHOOSE(CONTROL!$C$9, $C$13, 100%, $E$13) + CHOOSE(CONTROL!$C$28, 0, 0)</f>
        <v>967.04084234478603</v>
      </c>
    </row>
    <row r="968" spans="1:5" ht="15">
      <c r="A968" s="13">
        <v>70979</v>
      </c>
      <c r="B968" s="4">
        <f>185.4824 * CHOOSE(CONTROL!$C$9, $C$13, 100%, $E$13) + CHOOSE(CONTROL!$C$28, 0.0003, 0)</f>
        <v>185.48270000000002</v>
      </c>
      <c r="C968" s="4">
        <f>185.1191 * CHOOSE(CONTROL!$C$9, $C$13, 100%, $E$13) + CHOOSE(CONTROL!$C$28, 0.0003, 0)</f>
        <v>185.11940000000001</v>
      </c>
      <c r="D968" s="4">
        <f>142.5223 * CHOOSE(CONTROL!$C$9, $C$13, 100%, $E$13) + CHOOSE(CONTROL!$C$28, 0, 0)</f>
        <v>142.5223</v>
      </c>
      <c r="E968" s="4">
        <f>1006.4870110202 * CHOOSE(CONTROL!$C$9, $C$13, 100%, $E$13) + CHOOSE(CONTROL!$C$28, 0, 0)</f>
        <v>1006.4870110202</v>
      </c>
    </row>
    <row r="969" spans="1:5" ht="15">
      <c r="A969" s="13">
        <v>71010</v>
      </c>
      <c r="B969" s="4">
        <f>189.9053 * CHOOSE(CONTROL!$C$9, $C$13, 100%, $E$13) + CHOOSE(CONTROL!$C$28, 0.0311, 0)</f>
        <v>189.93640000000002</v>
      </c>
      <c r="C969" s="4">
        <f>189.542 * CHOOSE(CONTROL!$C$9, $C$13, 100%, $E$13) + CHOOSE(CONTROL!$C$28, 0.0311, 0)</f>
        <v>189.57310000000001</v>
      </c>
      <c r="D969" s="4">
        <f>140.9461 * CHOOSE(CONTROL!$C$9, $C$13, 100%, $E$13) + CHOOSE(CONTROL!$C$28, 0, 0)</f>
        <v>140.9461</v>
      </c>
      <c r="E969" s="4">
        <f>1030.58767468816 * CHOOSE(CONTROL!$C$9, $C$13, 100%, $E$13) + CHOOSE(CONTROL!$C$28, 0, 0)</f>
        <v>1030.58767468816</v>
      </c>
    </row>
    <row r="970" spans="1:5" ht="15">
      <c r="A970" s="13">
        <v>71040</v>
      </c>
      <c r="B970" s="4">
        <f>190.5037 * CHOOSE(CONTROL!$C$9, $C$13, 100%, $E$13) + CHOOSE(CONTROL!$C$28, 0.0311, 0)</f>
        <v>190.53480000000002</v>
      </c>
      <c r="C970" s="4">
        <f>190.1404 * CHOOSE(CONTROL!$C$9, $C$13, 100%, $E$13) + CHOOSE(CONTROL!$C$28, 0.0311, 0)</f>
        <v>190.17150000000001</v>
      </c>
      <c r="D970" s="4">
        <f>142.2298 * CHOOSE(CONTROL!$C$9, $C$13, 100%, $E$13) + CHOOSE(CONTROL!$C$28, 0, 0)</f>
        <v>142.22980000000001</v>
      </c>
      <c r="E970" s="4">
        <f>1033.84859450224 * CHOOSE(CONTROL!$C$9, $C$13, 100%, $E$13) + CHOOSE(CONTROL!$C$28, 0, 0)</f>
        <v>1033.8485945022401</v>
      </c>
    </row>
    <row r="971" spans="1:5" ht="15">
      <c r="A971" s="13">
        <v>71071</v>
      </c>
      <c r="B971" s="4">
        <f>190.4434 * CHOOSE(CONTROL!$C$9, $C$13, 100%, $E$13) + CHOOSE(CONTROL!$C$28, 0.0311, 0)</f>
        <v>190.47450000000001</v>
      </c>
      <c r="C971" s="4">
        <f>190.0801 * CHOOSE(CONTROL!$C$9, $C$13, 100%, $E$13) + CHOOSE(CONTROL!$C$28, 0.0311, 0)</f>
        <v>190.1112</v>
      </c>
      <c r="D971" s="4">
        <f>144.546 * CHOOSE(CONTROL!$C$9, $C$13, 100%, $E$13) + CHOOSE(CONTROL!$C$28, 0, 0)</f>
        <v>144.54599999999999</v>
      </c>
      <c r="E971" s="4">
        <f>1033.51976225208 * CHOOSE(CONTROL!$C$9, $C$13, 100%, $E$13) + CHOOSE(CONTROL!$C$28, 0, 0)</f>
        <v>1033.51976225208</v>
      </c>
    </row>
    <row r="972" spans="1:5" ht="15">
      <c r="A972" s="13">
        <v>71102</v>
      </c>
      <c r="B972" s="4">
        <f>194.9845 * CHOOSE(CONTROL!$C$9, $C$13, 100%, $E$13) + CHOOSE(CONTROL!$C$28, 0.0311, 0)</f>
        <v>195.01560000000001</v>
      </c>
      <c r="C972" s="4">
        <f>194.6212 * CHOOSE(CONTROL!$C$9, $C$13, 100%, $E$13) + CHOOSE(CONTROL!$C$28, 0.0311, 0)</f>
        <v>194.6523</v>
      </c>
      <c r="D972" s="4">
        <f>143.0164 * CHOOSE(CONTROL!$C$9, $C$13, 100%, $E$13) + CHOOSE(CONTROL!$C$28, 0, 0)</f>
        <v>143.0164</v>
      </c>
      <c r="E972" s="4">
        <f>1058.2643890766 * CHOOSE(CONTROL!$C$9, $C$13, 100%, $E$13) + CHOOSE(CONTROL!$C$28, 0, 0)</f>
        <v>1058.2643890766001</v>
      </c>
    </row>
    <row r="973" spans="1:5" ht="15">
      <c r="A973" s="13">
        <v>71132</v>
      </c>
      <c r="B973" s="4">
        <f>187.245 * CHOOSE(CONTROL!$C$9, $C$13, 100%, $E$13) + CHOOSE(CONTROL!$C$28, 0.0311, 0)</f>
        <v>187.27610000000001</v>
      </c>
      <c r="C973" s="4">
        <f>186.8817 * CHOOSE(CONTROL!$C$9, $C$13, 100%, $E$13) + CHOOSE(CONTROL!$C$28, 0.0311, 0)</f>
        <v>186.9128</v>
      </c>
      <c r="D973" s="4">
        <f>142.2937 * CHOOSE(CONTROL!$C$9, $C$13, 100%, $E$13) + CHOOSE(CONTROL!$C$28, 0, 0)</f>
        <v>142.2937</v>
      </c>
      <c r="E973" s="4">
        <f>1016.09165299362 * CHOOSE(CONTROL!$C$9, $C$13, 100%, $E$13) + CHOOSE(CONTROL!$C$28, 0, 0)</f>
        <v>1016.09165299362</v>
      </c>
    </row>
    <row r="974" spans="1:5" ht="15">
      <c r="A974" s="13">
        <v>71163</v>
      </c>
      <c r="B974" s="4">
        <f>181.0494 * CHOOSE(CONTROL!$C$9, $C$13, 100%, $E$13) + CHOOSE(CONTROL!$C$28, 0.0003, 0)</f>
        <v>181.0497</v>
      </c>
      <c r="C974" s="4">
        <f>180.6861 * CHOOSE(CONTROL!$C$9, $C$13, 100%, $E$13) + CHOOSE(CONTROL!$C$28, 0.0003, 0)</f>
        <v>180.68640000000002</v>
      </c>
      <c r="D974" s="4">
        <f>140.3585 * CHOOSE(CONTROL!$C$9, $C$13, 100%, $E$13) + CHOOSE(CONTROL!$C$28, 0, 0)</f>
        <v>140.35849999999999</v>
      </c>
      <c r="E974" s="4">
        <f>982.331541977215 * CHOOSE(CONTROL!$C$9, $C$13, 100%, $E$13) + CHOOSE(CONTROL!$C$28, 0, 0)</f>
        <v>982.33154197721501</v>
      </c>
    </row>
    <row r="975" spans="1:5" ht="15">
      <c r="A975" s="13">
        <v>71193</v>
      </c>
      <c r="B975" s="4">
        <f>177.059 * CHOOSE(CONTROL!$C$9, $C$13, 100%, $E$13) + CHOOSE(CONTROL!$C$28, 0.0003, 0)</f>
        <v>177.05930000000001</v>
      </c>
      <c r="C975" s="4">
        <f>176.6957 * CHOOSE(CONTROL!$C$9, $C$13, 100%, $E$13) + CHOOSE(CONTROL!$C$28, 0.0003, 0)</f>
        <v>176.696</v>
      </c>
      <c r="D975" s="4">
        <f>139.6932 * CHOOSE(CONTROL!$C$9, $C$13, 100%, $E$13) + CHOOSE(CONTROL!$C$28, 0, 0)</f>
        <v>139.69319999999999</v>
      </c>
      <c r="E975" s="4">
        <f>960.587509435401 * CHOOSE(CONTROL!$C$9, $C$13, 100%, $E$13) + CHOOSE(CONTROL!$C$28, 0, 0)</f>
        <v>960.58750943540099</v>
      </c>
    </row>
    <row r="976" spans="1:5" ht="15">
      <c r="A976" s="13">
        <v>71224</v>
      </c>
      <c r="B976" s="4">
        <f>174.2981 * CHOOSE(CONTROL!$C$9, $C$13, 100%, $E$13) + CHOOSE(CONTROL!$C$28, 0.0003, 0)</f>
        <v>174.29840000000002</v>
      </c>
      <c r="C976" s="4">
        <f>173.9348 * CHOOSE(CONTROL!$C$9, $C$13, 100%, $E$13) + CHOOSE(CONTROL!$C$28, 0.0003, 0)</f>
        <v>173.93510000000001</v>
      </c>
      <c r="D976" s="4">
        <f>134.7952 * CHOOSE(CONTROL!$C$9, $C$13, 100%, $E$13) + CHOOSE(CONTROL!$C$28, 0, 0)</f>
        <v>134.79519999999999</v>
      </c>
      <c r="E976" s="4">
        <f>945.543433990593 * CHOOSE(CONTROL!$C$9, $C$13, 100%, $E$13) + CHOOSE(CONTROL!$C$28, 0, 0)</f>
        <v>945.54343399059303</v>
      </c>
    </row>
    <row r="977" spans="1:5" ht="15">
      <c r="A977" s="13">
        <v>71255</v>
      </c>
      <c r="B977" s="4">
        <f>169.8123 * CHOOSE(CONTROL!$C$9, $C$13, 100%, $E$13) + CHOOSE(CONTROL!$C$28, 0.0003, 0)</f>
        <v>169.8126</v>
      </c>
      <c r="C977" s="4">
        <f>169.449 * CHOOSE(CONTROL!$C$9, $C$13, 100%, $E$13) + CHOOSE(CONTROL!$C$28, 0.0003, 0)</f>
        <v>169.44930000000002</v>
      </c>
      <c r="D977" s="4">
        <f>130.2936 * CHOOSE(CONTROL!$C$9, $C$13, 100%, $E$13) + CHOOSE(CONTROL!$C$28, 0, 0)</f>
        <v>130.2936</v>
      </c>
      <c r="E977" s="4">
        <f>918.428851483124 * CHOOSE(CONTROL!$C$9, $C$13, 100%, $E$13) + CHOOSE(CONTROL!$C$28, 0, 0)</f>
        <v>918.42885148312405</v>
      </c>
    </row>
    <row r="978" spans="1:5" ht="15">
      <c r="A978" s="13">
        <v>71283</v>
      </c>
      <c r="B978" s="4">
        <f>173.8259 * CHOOSE(CONTROL!$C$9, $C$13, 100%, $E$13) + CHOOSE(CONTROL!$C$28, 0.0003, 0)</f>
        <v>173.8262</v>
      </c>
      <c r="C978" s="4">
        <f>173.4626 * CHOOSE(CONTROL!$C$9, $C$13, 100%, $E$13) + CHOOSE(CONTROL!$C$28, 0.0003, 0)</f>
        <v>173.46290000000002</v>
      </c>
      <c r="D978" s="4">
        <f>134.8268 * CHOOSE(CONTROL!$C$9, $C$13, 100%, $E$13) + CHOOSE(CONTROL!$C$28, 0, 0)</f>
        <v>134.82679999999999</v>
      </c>
      <c r="E978" s="4">
        <f>940.235971862265 * CHOOSE(CONTROL!$C$9, $C$13, 100%, $E$13) + CHOOSE(CONTROL!$C$28, 0, 0)</f>
        <v>940.23597186226505</v>
      </c>
    </row>
    <row r="979" spans="1:5" ht="15">
      <c r="A979" s="13">
        <v>71314</v>
      </c>
      <c r="B979" s="4">
        <f>184.366 * CHOOSE(CONTROL!$C$9, $C$13, 100%, $E$13) + CHOOSE(CONTROL!$C$28, 0.0003, 0)</f>
        <v>184.36630000000002</v>
      </c>
      <c r="C979" s="4">
        <f>184.0027 * CHOOSE(CONTROL!$C$9, $C$13, 100%, $E$13) + CHOOSE(CONTROL!$C$28, 0.0003, 0)</f>
        <v>184.00300000000001</v>
      </c>
      <c r="D979" s="4">
        <f>141.9232 * CHOOSE(CONTROL!$C$9, $C$13, 100%, $E$13) + CHOOSE(CONTROL!$C$28, 0, 0)</f>
        <v>141.92320000000001</v>
      </c>
      <c r="E979" s="4">
        <f>997.502628878647 * CHOOSE(CONTROL!$C$9, $C$13, 100%, $E$13) + CHOOSE(CONTROL!$C$28, 0, 0)</f>
        <v>997.50262887864699</v>
      </c>
    </row>
    <row r="980" spans="1:5" ht="15">
      <c r="A980" s="13">
        <v>71344</v>
      </c>
      <c r="B980" s="4">
        <f>191.8548 * CHOOSE(CONTROL!$C$9, $C$13, 100%, $E$13) + CHOOSE(CONTROL!$C$28, 0.0003, 0)</f>
        <v>191.85510000000002</v>
      </c>
      <c r="C980" s="4">
        <f>191.4915 * CHOOSE(CONTROL!$C$9, $C$13, 100%, $E$13) + CHOOSE(CONTROL!$C$28, 0.0003, 0)</f>
        <v>191.49180000000001</v>
      </c>
      <c r="D980" s="4">
        <f>146.0109 * CHOOSE(CONTROL!$C$9, $C$13, 100%, $E$13) + CHOOSE(CONTROL!$C$28, 0, 0)</f>
        <v>146.01089999999999</v>
      </c>
      <c r="E980" s="4">
        <f>1038.19135186734 * CHOOSE(CONTROL!$C$9, $C$13, 100%, $E$13) + CHOOSE(CONTROL!$C$28, 0, 0)</f>
        <v>1038.19135186734</v>
      </c>
    </row>
    <row r="981" spans="1:5" ht="15">
      <c r="A981" s="13">
        <v>71375</v>
      </c>
      <c r="B981" s="4">
        <f>196.4303 * CHOOSE(CONTROL!$C$9, $C$13, 100%, $E$13) + CHOOSE(CONTROL!$C$28, 0.0311, 0)</f>
        <v>196.4614</v>
      </c>
      <c r="C981" s="4">
        <f>196.067 * CHOOSE(CONTROL!$C$9, $C$13, 100%, $E$13) + CHOOSE(CONTROL!$C$28, 0.0311, 0)</f>
        <v>196.09810000000002</v>
      </c>
      <c r="D981" s="4">
        <f>144.3957 * CHOOSE(CONTROL!$C$9, $C$13, 100%, $E$13) + CHOOSE(CONTROL!$C$28, 0, 0)</f>
        <v>144.39570000000001</v>
      </c>
      <c r="E981" s="4">
        <f>1063.05118644083 * CHOOSE(CONTROL!$C$9, $C$13, 100%, $E$13) + CHOOSE(CONTROL!$C$28, 0, 0)</f>
        <v>1063.05118644083</v>
      </c>
    </row>
    <row r="982" spans="1:5" ht="15">
      <c r="A982" s="13">
        <v>71405</v>
      </c>
      <c r="B982" s="4">
        <f>197.0494 * CHOOSE(CONTROL!$C$9, $C$13, 100%, $E$13) + CHOOSE(CONTROL!$C$28, 0.0311, 0)</f>
        <v>197.0805</v>
      </c>
      <c r="C982" s="4">
        <f>196.6861 * CHOOSE(CONTROL!$C$9, $C$13, 100%, $E$13) + CHOOSE(CONTROL!$C$28, 0.0311, 0)</f>
        <v>196.71720000000002</v>
      </c>
      <c r="D982" s="4">
        <f>145.7112 * CHOOSE(CONTROL!$C$9, $C$13, 100%, $E$13) + CHOOSE(CONTROL!$C$28, 0, 0)</f>
        <v>145.71119999999999</v>
      </c>
      <c r="E982" s="4">
        <f>1066.41482522906 * CHOOSE(CONTROL!$C$9, $C$13, 100%, $E$13) + CHOOSE(CONTROL!$C$28, 0, 0)</f>
        <v>1066.4148252290599</v>
      </c>
    </row>
    <row r="983" spans="1:5" ht="15">
      <c r="A983" s="13">
        <v>71436</v>
      </c>
      <c r="B983" s="4">
        <f>196.987 * CHOOSE(CONTROL!$C$9, $C$13, 100%, $E$13) + CHOOSE(CONTROL!$C$28, 0.0311, 0)</f>
        <v>197.0181</v>
      </c>
      <c r="C983" s="4">
        <f>196.6237 * CHOOSE(CONTROL!$C$9, $C$13, 100%, $E$13) + CHOOSE(CONTROL!$C$28, 0.0311, 0)</f>
        <v>196.65480000000002</v>
      </c>
      <c r="D983" s="4">
        <f>148.0849 * CHOOSE(CONTROL!$C$9, $C$13, 100%, $E$13) + CHOOSE(CONTROL!$C$28, 0, 0)</f>
        <v>148.0849</v>
      </c>
      <c r="E983" s="4">
        <f>1066.07563476302 * CHOOSE(CONTROL!$C$9, $C$13, 100%, $E$13) + CHOOSE(CONTROL!$C$28, 0, 0)</f>
        <v>1066.0756347630199</v>
      </c>
    </row>
    <row r="984" spans="1:5" ht="15">
      <c r="A984" s="13">
        <v>71467</v>
      </c>
      <c r="B984" s="4">
        <f>201.6847 * CHOOSE(CONTROL!$C$9, $C$13, 100%, $E$13) + CHOOSE(CONTROL!$C$28, 0.0311, 0)</f>
        <v>201.7158</v>
      </c>
      <c r="C984" s="4">
        <f>201.3215 * CHOOSE(CONTROL!$C$9, $C$13, 100%, $E$13) + CHOOSE(CONTROL!$C$28, 0.0311, 0)</f>
        <v>201.3526</v>
      </c>
      <c r="D984" s="4">
        <f>146.5173 * CHOOSE(CONTROL!$C$9, $C$13, 100%, $E$13) + CHOOSE(CONTROL!$C$28, 0, 0)</f>
        <v>146.51730000000001</v>
      </c>
      <c r="E984" s="4">
        <f>1091.59971733252 * CHOOSE(CONTROL!$C$9, $C$13, 100%, $E$13) + CHOOSE(CONTROL!$C$28, 0, 0)</f>
        <v>1091.59971733252</v>
      </c>
    </row>
    <row r="985" spans="1:5" ht="15">
      <c r="A985" s="13">
        <v>71497</v>
      </c>
      <c r="B985" s="4">
        <f>193.6783 * CHOOSE(CONTROL!$C$9, $C$13, 100%, $E$13) + CHOOSE(CONTROL!$C$28, 0.0311, 0)</f>
        <v>193.70940000000002</v>
      </c>
      <c r="C985" s="4">
        <f>193.315 * CHOOSE(CONTROL!$C$9, $C$13, 100%, $E$13) + CHOOSE(CONTROL!$C$28, 0.0311, 0)</f>
        <v>193.34610000000001</v>
      </c>
      <c r="D985" s="4">
        <f>145.7766 * CHOOSE(CONTROL!$C$9, $C$13, 100%, $E$13) + CHOOSE(CONTROL!$C$28, 0, 0)</f>
        <v>145.7766</v>
      </c>
      <c r="E985" s="4">
        <f>1048.09854006291 * CHOOSE(CONTROL!$C$9, $C$13, 100%, $E$13) + CHOOSE(CONTROL!$C$28, 0, 0)</f>
        <v>1048.0985400629099</v>
      </c>
    </row>
    <row r="986" spans="1:5" ht="15">
      <c r="A986" s="13">
        <v>71528</v>
      </c>
      <c r="B986" s="4">
        <f>187.2689 * CHOOSE(CONTROL!$C$9, $C$13, 100%, $E$13) + CHOOSE(CONTROL!$C$28, 0.0003, 0)</f>
        <v>187.26920000000001</v>
      </c>
      <c r="C986" s="4">
        <f>186.9056 * CHOOSE(CONTROL!$C$9, $C$13, 100%, $E$13) + CHOOSE(CONTROL!$C$28, 0.0003, 0)</f>
        <v>186.9059</v>
      </c>
      <c r="D986" s="4">
        <f>143.7935 * CHOOSE(CONTROL!$C$9, $C$13, 100%, $E$13) + CHOOSE(CONTROL!$C$28, 0, 0)</f>
        <v>143.79349999999999</v>
      </c>
      <c r="E986" s="4">
        <f>1013.2749855495 * CHOOSE(CONTROL!$C$9, $C$13, 100%, $E$13) + CHOOSE(CONTROL!$C$28, 0, 0)</f>
        <v>1013.2749855495</v>
      </c>
    </row>
    <row r="987" spans="1:5" ht="15">
      <c r="A987" s="13">
        <v>71558</v>
      </c>
      <c r="B987" s="4">
        <f>183.1408 * CHOOSE(CONTROL!$C$9, $C$13, 100%, $E$13) + CHOOSE(CONTROL!$C$28, 0.0003, 0)</f>
        <v>183.14110000000002</v>
      </c>
      <c r="C987" s="4">
        <f>182.7775 * CHOOSE(CONTROL!$C$9, $C$13, 100%, $E$13) + CHOOSE(CONTROL!$C$28, 0.0003, 0)</f>
        <v>182.77780000000001</v>
      </c>
      <c r="D987" s="4">
        <f>143.1117 * CHOOSE(CONTROL!$C$9, $C$13, 100%, $E$13) + CHOOSE(CONTROL!$C$28, 0, 0)</f>
        <v>143.11170000000001</v>
      </c>
      <c r="E987" s="4">
        <f>990.846015982617 * CHOOSE(CONTROL!$C$9, $C$13, 100%, $E$13) + CHOOSE(CONTROL!$C$28, 0, 0)</f>
        <v>990.84601598261702</v>
      </c>
    </row>
    <row r="988" spans="1:5" ht="15">
      <c r="A988" s="13">
        <v>71589</v>
      </c>
      <c r="B988" s="4">
        <f>180.2847 * CHOOSE(CONTROL!$C$9, $C$13, 100%, $E$13) + CHOOSE(CONTROL!$C$28, 0.0003, 0)</f>
        <v>180.285</v>
      </c>
      <c r="C988" s="4">
        <f>179.9214 * CHOOSE(CONTROL!$C$9, $C$13, 100%, $E$13) + CHOOSE(CONTROL!$C$28, 0.0003, 0)</f>
        <v>179.92170000000002</v>
      </c>
      <c r="D988" s="4">
        <f>138.0922 * CHOOSE(CONTROL!$C$9, $C$13, 100%, $E$13) + CHOOSE(CONTROL!$C$28, 0, 0)</f>
        <v>138.09219999999999</v>
      </c>
      <c r="E988" s="4">
        <f>975.328052161297 * CHOOSE(CONTROL!$C$9, $C$13, 100%, $E$13) + CHOOSE(CONTROL!$C$28, 0, 0)</f>
        <v>975.32805216129702</v>
      </c>
    </row>
    <row r="989" spans="1:5" ht="15">
      <c r="A989" s="13">
        <v>71620</v>
      </c>
      <c r="B989" s="4">
        <f>175.6441 * CHOOSE(CONTROL!$C$9, $C$13, 100%, $E$13) + CHOOSE(CONTROL!$C$28, 0.0003, 0)</f>
        <v>175.64440000000002</v>
      </c>
      <c r="C989" s="4">
        <f>175.2808 * CHOOSE(CONTROL!$C$9, $C$13, 100%, $E$13) + CHOOSE(CONTROL!$C$28, 0.0003, 0)</f>
        <v>175.28110000000001</v>
      </c>
      <c r="D989" s="4">
        <f>133.4789 * CHOOSE(CONTROL!$C$9, $C$13, 100%, $E$13) + CHOOSE(CONTROL!$C$28, 0, 0)</f>
        <v>133.47890000000001</v>
      </c>
      <c r="E989" s="4">
        <f>947.359360304842 * CHOOSE(CONTROL!$C$9, $C$13, 100%, $E$13) + CHOOSE(CONTROL!$C$28, 0, 0)</f>
        <v>947.35936030484197</v>
      </c>
    </row>
    <row r="990" spans="1:5" ht="15">
      <c r="A990" s="13">
        <v>71649</v>
      </c>
      <c r="B990" s="4">
        <f>179.7962 * CHOOSE(CONTROL!$C$9, $C$13, 100%, $E$13) + CHOOSE(CONTROL!$C$28, 0.0003, 0)</f>
        <v>179.79650000000001</v>
      </c>
      <c r="C990" s="4">
        <f>179.4329 * CHOOSE(CONTROL!$C$9, $C$13, 100%, $E$13) + CHOOSE(CONTROL!$C$28, 0.0003, 0)</f>
        <v>179.4332</v>
      </c>
      <c r="D990" s="4">
        <f>138.1246 * CHOOSE(CONTROL!$C$9, $C$13, 100%, $E$13) + CHOOSE(CONTROL!$C$28, 0, 0)</f>
        <v>138.12459999999999</v>
      </c>
      <c r="E990" s="4">
        <f>969.853404975926 * CHOOSE(CONTROL!$C$9, $C$13, 100%, $E$13) + CHOOSE(CONTROL!$C$28, 0, 0)</f>
        <v>969.85340497592597</v>
      </c>
    </row>
    <row r="991" spans="1:5" ht="15">
      <c r="A991" s="13">
        <v>71680</v>
      </c>
      <c r="B991" s="4">
        <f>190.6999 * CHOOSE(CONTROL!$C$9, $C$13, 100%, $E$13) + CHOOSE(CONTROL!$C$28, 0.0003, 0)</f>
        <v>190.70020000000002</v>
      </c>
      <c r="C991" s="4">
        <f>190.3366 * CHOOSE(CONTROL!$C$9, $C$13, 100%, $E$13) + CHOOSE(CONTROL!$C$28, 0.0003, 0)</f>
        <v>190.33690000000001</v>
      </c>
      <c r="D991" s="4">
        <f>145.397 * CHOOSE(CONTROL!$C$9, $C$13, 100%, $E$13) + CHOOSE(CONTROL!$C$28, 0, 0)</f>
        <v>145.39699999999999</v>
      </c>
      <c r="E991" s="4">
        <f>1028.92396168832 * CHOOSE(CONTROL!$C$9, $C$13, 100%, $E$13) + CHOOSE(CONTROL!$C$28, 0, 0)</f>
        <v>1028.9239616883201</v>
      </c>
    </row>
    <row r="992" spans="1:5" ht="15">
      <c r="A992" s="13">
        <v>71710</v>
      </c>
      <c r="B992" s="4">
        <f>198.4471 * CHOOSE(CONTROL!$C$9, $C$13, 100%, $E$13) + CHOOSE(CONTROL!$C$28, 0.0003, 0)</f>
        <v>198.44740000000002</v>
      </c>
      <c r="C992" s="4">
        <f>198.0838 * CHOOSE(CONTROL!$C$9, $C$13, 100%, $E$13) + CHOOSE(CONTROL!$C$28, 0.0003, 0)</f>
        <v>198.08410000000001</v>
      </c>
      <c r="D992" s="4">
        <f>149.5861 * CHOOSE(CONTROL!$C$9, $C$13, 100%, $E$13) + CHOOSE(CONTROL!$C$28, 0, 0)</f>
        <v>149.58609999999999</v>
      </c>
      <c r="E992" s="4">
        <f>1070.89437945116 * CHOOSE(CONTROL!$C$9, $C$13, 100%, $E$13) + CHOOSE(CONTROL!$C$28, 0, 0)</f>
        <v>1070.8943794511599</v>
      </c>
    </row>
    <row r="993" spans="1:5" ht="15">
      <c r="A993" s="13">
        <v>71741</v>
      </c>
      <c r="B993" s="4">
        <f>203.1805 * CHOOSE(CONTROL!$C$9, $C$13, 100%, $E$13) + CHOOSE(CONTROL!$C$28, 0.0311, 0)</f>
        <v>203.2116</v>
      </c>
      <c r="C993" s="4">
        <f>202.8172 * CHOOSE(CONTROL!$C$9, $C$13, 100%, $E$13) + CHOOSE(CONTROL!$C$28, 0.0311, 0)</f>
        <v>202.84830000000002</v>
      </c>
      <c r="D993" s="4">
        <f>147.9307 * CHOOSE(CONTROL!$C$9, $C$13, 100%, $E$13) + CHOOSE(CONTROL!$C$28, 0, 0)</f>
        <v>147.9307</v>
      </c>
      <c r="E993" s="4">
        <f>1096.53729881372 * CHOOSE(CONTROL!$C$9, $C$13, 100%, $E$13) + CHOOSE(CONTROL!$C$28, 0, 0)</f>
        <v>1096.5372988137201</v>
      </c>
    </row>
    <row r="994" spans="1:5" ht="15">
      <c r="A994" s="13">
        <v>71771</v>
      </c>
      <c r="B994" s="4">
        <f>203.8209 * CHOOSE(CONTROL!$C$9, $C$13, 100%, $E$13) + CHOOSE(CONTROL!$C$28, 0.0311, 0)</f>
        <v>203.852</v>
      </c>
      <c r="C994" s="4">
        <f>203.4576 * CHOOSE(CONTROL!$C$9, $C$13, 100%, $E$13) + CHOOSE(CONTROL!$C$28, 0.0311, 0)</f>
        <v>203.48870000000002</v>
      </c>
      <c r="D994" s="4">
        <f>149.2789 * CHOOSE(CONTROL!$C$9, $C$13, 100%, $E$13) + CHOOSE(CONTROL!$C$28, 0, 0)</f>
        <v>149.27889999999999</v>
      </c>
      <c r="E994" s="4">
        <f>1100.00689222378 * CHOOSE(CONTROL!$C$9, $C$13, 100%, $E$13) + CHOOSE(CONTROL!$C$28, 0, 0)</f>
        <v>1100.0068922237799</v>
      </c>
    </row>
    <row r="995" spans="1:5" ht="15">
      <c r="A995" s="13">
        <v>71802</v>
      </c>
      <c r="B995" s="4">
        <f>203.7563 * CHOOSE(CONTROL!$C$9, $C$13, 100%, $E$13) + CHOOSE(CONTROL!$C$28, 0.0311, 0)</f>
        <v>203.78740000000002</v>
      </c>
      <c r="C995" s="4">
        <f>203.3931 * CHOOSE(CONTROL!$C$9, $C$13, 100%, $E$13) + CHOOSE(CONTROL!$C$28, 0.0311, 0)</f>
        <v>203.42420000000001</v>
      </c>
      <c r="D995" s="4">
        <f>151.7114 * CHOOSE(CONTROL!$C$9, $C$13, 100%, $E$13) + CHOOSE(CONTROL!$C$28, 0, 0)</f>
        <v>151.7114</v>
      </c>
      <c r="E995" s="4">
        <f>1099.65701725806 * CHOOSE(CONTROL!$C$9, $C$13, 100%, $E$13) + CHOOSE(CONTROL!$C$28, 0, 0)</f>
        <v>1099.65701725806</v>
      </c>
    </row>
    <row r="996" spans="1:5" ht="15">
      <c r="A996" s="13">
        <v>71833</v>
      </c>
      <c r="B996" s="4">
        <f>208.6162 * CHOOSE(CONTROL!$C$9, $C$13, 100%, $E$13) + CHOOSE(CONTROL!$C$28, 0.0311, 0)</f>
        <v>208.6473</v>
      </c>
      <c r="C996" s="4">
        <f>208.2529 * CHOOSE(CONTROL!$C$9, $C$13, 100%, $E$13) + CHOOSE(CONTROL!$C$28, 0.0311, 0)</f>
        <v>208.28400000000002</v>
      </c>
      <c r="D996" s="4">
        <f>150.105 * CHOOSE(CONTROL!$C$9, $C$13, 100%, $E$13) + CHOOSE(CONTROL!$C$28, 0, 0)</f>
        <v>150.10499999999999</v>
      </c>
      <c r="E996" s="4">
        <f>1125.98510842849 * CHOOSE(CONTROL!$C$9, $C$13, 100%, $E$13) + CHOOSE(CONTROL!$C$28, 0, 0)</f>
        <v>1125.9851084284901</v>
      </c>
    </row>
    <row r="997" spans="1:5" ht="15">
      <c r="A997" s="13">
        <v>71863</v>
      </c>
      <c r="B997" s="4">
        <f>200.3335 * CHOOSE(CONTROL!$C$9, $C$13, 100%, $E$13) + CHOOSE(CONTROL!$C$28, 0.0311, 0)</f>
        <v>200.3646</v>
      </c>
      <c r="C997" s="4">
        <f>199.9702 * CHOOSE(CONTROL!$C$9, $C$13, 100%, $E$13) + CHOOSE(CONTROL!$C$28, 0.0311, 0)</f>
        <v>200.00130000000001</v>
      </c>
      <c r="D997" s="4">
        <f>149.346 * CHOOSE(CONTROL!$C$9, $C$13, 100%, $E$13) + CHOOSE(CONTROL!$C$28, 0, 0)</f>
        <v>149.346</v>
      </c>
      <c r="E997" s="4">
        <f>1081.1136440749 * CHOOSE(CONTROL!$C$9, $C$13, 100%, $E$13) + CHOOSE(CONTROL!$C$28, 0, 0)</f>
        <v>1081.1136440749001</v>
      </c>
    </row>
    <row r="998" spans="1:5" ht="15">
      <c r="A998" s="13">
        <v>71894</v>
      </c>
      <c r="B998" s="4">
        <f>193.703 * CHOOSE(CONTROL!$C$9, $C$13, 100%, $E$13) + CHOOSE(CONTROL!$C$28, 0.0003, 0)</f>
        <v>193.70330000000001</v>
      </c>
      <c r="C998" s="4">
        <f>193.3397 * CHOOSE(CONTROL!$C$9, $C$13, 100%, $E$13) + CHOOSE(CONTROL!$C$28, 0.0003, 0)</f>
        <v>193.34</v>
      </c>
      <c r="D998" s="4">
        <f>147.3137 * CHOOSE(CONTROL!$C$9, $C$13, 100%, $E$13) + CHOOSE(CONTROL!$C$28, 0, 0)</f>
        <v>147.31370000000001</v>
      </c>
      <c r="E998" s="4">
        <f>1045.19314759431 * CHOOSE(CONTROL!$C$9, $C$13, 100%, $E$13) + CHOOSE(CONTROL!$C$28, 0, 0)</f>
        <v>1045.1931475943099</v>
      </c>
    </row>
    <row r="999" spans="1:5" ht="15">
      <c r="A999" s="13">
        <v>71924</v>
      </c>
      <c r="B999" s="4">
        <f>189.4325 * CHOOSE(CONTROL!$C$9, $C$13, 100%, $E$13) + CHOOSE(CONTROL!$C$28, 0.0003, 0)</f>
        <v>189.43280000000001</v>
      </c>
      <c r="C999" s="4">
        <f>189.0692 * CHOOSE(CONTROL!$C$9, $C$13, 100%, $E$13) + CHOOSE(CONTROL!$C$28, 0.0003, 0)</f>
        <v>189.06950000000001</v>
      </c>
      <c r="D999" s="4">
        <f>146.6149 * CHOOSE(CONTROL!$C$9, $C$13, 100%, $E$13) + CHOOSE(CONTROL!$C$28, 0, 0)</f>
        <v>146.61490000000001</v>
      </c>
      <c r="E999" s="4">
        <f>1022.05766548607 * CHOOSE(CONTROL!$C$9, $C$13, 100%, $E$13) + CHOOSE(CONTROL!$C$28, 0, 0)</f>
        <v>1022.0576654860701</v>
      </c>
    </row>
    <row r="1000" spans="1:5" ht="15">
      <c r="A1000" s="13">
        <v>71955</v>
      </c>
      <c r="B1000" s="4">
        <f>186.4778 * CHOOSE(CONTROL!$C$9, $C$13, 100%, $E$13) + CHOOSE(CONTROL!$C$28, 0.0003, 0)</f>
        <v>186.47810000000001</v>
      </c>
      <c r="C1000" s="4">
        <f>186.1145 * CHOOSE(CONTROL!$C$9, $C$13, 100%, $E$13) + CHOOSE(CONTROL!$C$28, 0.0003, 0)</f>
        <v>186.1148</v>
      </c>
      <c r="D1000" s="4">
        <f>141.471 * CHOOSE(CONTROL!$C$9, $C$13, 100%, $E$13) + CHOOSE(CONTROL!$C$28, 0, 0)</f>
        <v>141.471</v>
      </c>
      <c r="E1000" s="4">
        <f>1006.05088580438 * CHOOSE(CONTROL!$C$9, $C$13, 100%, $E$13) + CHOOSE(CONTROL!$C$28, 0, 0)</f>
        <v>1006.05088580438</v>
      </c>
    </row>
    <row r="1001" spans="1:5" ht="15">
      <c r="A1001" s="13">
        <v>71986</v>
      </c>
      <c r="B1001" s="4">
        <f>181.6771 * CHOOSE(CONTROL!$C$9, $C$13, 100%, $E$13) + CHOOSE(CONTROL!$C$28, 0.0003, 0)</f>
        <v>181.67740000000001</v>
      </c>
      <c r="C1001" s="4">
        <f>181.3139 * CHOOSE(CONTROL!$C$9, $C$13, 100%, $E$13) + CHOOSE(CONTROL!$C$28, 0.0003, 0)</f>
        <v>181.3142</v>
      </c>
      <c r="D1001" s="4">
        <f>136.7433 * CHOOSE(CONTROL!$C$9, $C$13, 100%, $E$13) + CHOOSE(CONTROL!$C$28, 0, 0)</f>
        <v>136.7433</v>
      </c>
      <c r="E1001" s="4">
        <f>977.201180154445 * CHOOSE(CONTROL!$C$9, $C$13, 100%, $E$13) + CHOOSE(CONTROL!$C$28, 0, 0)</f>
        <v>977.20118015444496</v>
      </c>
    </row>
    <row r="1002" spans="1:5" ht="15">
      <c r="A1002" s="13">
        <v>72014</v>
      </c>
      <c r="B1002" s="4">
        <f>185.9725 * CHOOSE(CONTROL!$C$9, $C$13, 100%, $E$13) + CHOOSE(CONTROL!$C$28, 0.0003, 0)</f>
        <v>185.97280000000001</v>
      </c>
      <c r="C1002" s="4">
        <f>185.6092 * CHOOSE(CONTROL!$C$9, $C$13, 100%, $E$13) + CHOOSE(CONTROL!$C$28, 0.0003, 0)</f>
        <v>185.6095</v>
      </c>
      <c r="D1002" s="4">
        <f>141.5041 * CHOOSE(CONTROL!$C$9, $C$13, 100%, $E$13) + CHOOSE(CONTROL!$C$28, 0, 0)</f>
        <v>141.50409999999999</v>
      </c>
      <c r="E1002" s="4">
        <f>1000.40378723267 * CHOOSE(CONTROL!$C$9, $C$13, 100%, $E$13) + CHOOSE(CONTROL!$C$28, 0, 0)</f>
        <v>1000.40378723267</v>
      </c>
    </row>
    <row r="1003" spans="1:5" ht="15">
      <c r="A1003" s="13">
        <v>72045</v>
      </c>
      <c r="B1003" s="4">
        <f>197.2524 * CHOOSE(CONTROL!$C$9, $C$13, 100%, $E$13) + CHOOSE(CONTROL!$C$28, 0.0003, 0)</f>
        <v>197.2527</v>
      </c>
      <c r="C1003" s="4">
        <f>196.8891 * CHOOSE(CONTROL!$C$9, $C$13, 100%, $E$13) + CHOOSE(CONTROL!$C$28, 0.0003, 0)</f>
        <v>196.88940000000002</v>
      </c>
      <c r="D1003" s="4">
        <f>148.9569 * CHOOSE(CONTROL!$C$9, $C$13, 100%, $E$13) + CHOOSE(CONTROL!$C$28, 0, 0)</f>
        <v>148.95689999999999</v>
      </c>
      <c r="E1003" s="4">
        <f>1061.33506648151 * CHOOSE(CONTROL!$C$9, $C$13, 100%, $E$13) + CHOOSE(CONTROL!$C$28, 0, 0)</f>
        <v>1061.33506648151</v>
      </c>
    </row>
    <row r="1004" spans="1:5" ht="15">
      <c r="A1004" s="13">
        <v>72075</v>
      </c>
      <c r="B1004" s="4">
        <f>205.2669 * CHOOSE(CONTROL!$C$9, $C$13, 100%, $E$13) + CHOOSE(CONTROL!$C$28, 0.0003, 0)</f>
        <v>205.2672</v>
      </c>
      <c r="C1004" s="4">
        <f>204.9036 * CHOOSE(CONTROL!$C$9, $C$13, 100%, $E$13) + CHOOSE(CONTROL!$C$28, 0.0003, 0)</f>
        <v>204.90390000000002</v>
      </c>
      <c r="D1004" s="4">
        <f>153.2499 * CHOOSE(CONTROL!$C$9, $C$13, 100%, $E$13) + CHOOSE(CONTROL!$C$28, 0, 0)</f>
        <v>153.2499</v>
      </c>
      <c r="E1004" s="4">
        <f>1104.62755240387 * CHOOSE(CONTROL!$C$9, $C$13, 100%, $E$13) + CHOOSE(CONTROL!$C$28, 0, 0)</f>
        <v>1104.6275524038699</v>
      </c>
    </row>
    <row r="1005" spans="1:5" ht="15">
      <c r="A1005" s="13">
        <v>72106</v>
      </c>
      <c r="B1005" s="4">
        <f>210.1635 * CHOOSE(CONTROL!$C$9, $C$13, 100%, $E$13) + CHOOSE(CONTROL!$C$28, 0.0311, 0)</f>
        <v>210.19460000000001</v>
      </c>
      <c r="C1005" s="4">
        <f>209.8002 * CHOOSE(CONTROL!$C$9, $C$13, 100%, $E$13) + CHOOSE(CONTROL!$C$28, 0.0311, 0)</f>
        <v>209.8313</v>
      </c>
      <c r="D1005" s="4">
        <f>151.5535 * CHOOSE(CONTROL!$C$9, $C$13, 100%, $E$13) + CHOOSE(CONTROL!$C$28, 0, 0)</f>
        <v>151.55350000000001</v>
      </c>
      <c r="E1005" s="4">
        <f>1131.07822372635 * CHOOSE(CONTROL!$C$9, $C$13, 100%, $E$13) + CHOOSE(CONTROL!$C$28, 0, 0)</f>
        <v>1131.07822372635</v>
      </c>
    </row>
    <row r="1006" spans="1:5" ht="15">
      <c r="A1006" s="13">
        <v>72136</v>
      </c>
      <c r="B1006" s="4">
        <f>210.8261 * CHOOSE(CONTROL!$C$9, $C$13, 100%, $E$13) + CHOOSE(CONTROL!$C$28, 0.0311, 0)</f>
        <v>210.85720000000001</v>
      </c>
      <c r="C1006" s="4">
        <f>210.4628 * CHOOSE(CONTROL!$C$9, $C$13, 100%, $E$13) + CHOOSE(CONTROL!$C$28, 0.0311, 0)</f>
        <v>210.4939</v>
      </c>
      <c r="D1006" s="4">
        <f>152.9351 * CHOOSE(CONTROL!$C$9, $C$13, 100%, $E$13) + CHOOSE(CONTROL!$C$28, 0, 0)</f>
        <v>152.93510000000001</v>
      </c>
      <c r="E1006" s="4">
        <f>1134.65710932883 * CHOOSE(CONTROL!$C$9, $C$13, 100%, $E$13) + CHOOSE(CONTROL!$C$28, 0, 0)</f>
        <v>1134.6571093288301</v>
      </c>
    </row>
    <row r="1007" spans="1:5" ht="15">
      <c r="A1007" s="13">
        <v>72167</v>
      </c>
      <c r="B1007" s="4">
        <f>210.7593 * CHOOSE(CONTROL!$C$9, $C$13, 100%, $E$13) + CHOOSE(CONTROL!$C$28, 0.0311, 0)</f>
        <v>210.79040000000001</v>
      </c>
      <c r="C1007" s="4">
        <f>210.396 * CHOOSE(CONTROL!$C$9, $C$13, 100%, $E$13) + CHOOSE(CONTROL!$C$28, 0.0311, 0)</f>
        <v>210.4271</v>
      </c>
      <c r="D1007" s="4">
        <f>155.428 * CHOOSE(CONTROL!$C$9, $C$13, 100%, $E$13) + CHOOSE(CONTROL!$C$28, 0, 0)</f>
        <v>155.428</v>
      </c>
      <c r="E1007" s="4">
        <f>1134.29621330169 * CHOOSE(CONTROL!$C$9, $C$13, 100%, $E$13) + CHOOSE(CONTROL!$C$28, 0, 0)</f>
        <v>1134.2962133016899</v>
      </c>
    </row>
    <row r="1008" spans="1:5" ht="15">
      <c r="A1008" s="13">
        <v>72198</v>
      </c>
      <c r="B1008" s="4">
        <f>215.7868 * CHOOSE(CONTROL!$C$9, $C$13, 100%, $E$13) + CHOOSE(CONTROL!$C$28, 0.0311, 0)</f>
        <v>215.81790000000001</v>
      </c>
      <c r="C1008" s="4">
        <f>215.4235 * CHOOSE(CONTROL!$C$9, $C$13, 100%, $E$13) + CHOOSE(CONTROL!$C$28, 0.0311, 0)</f>
        <v>215.4546</v>
      </c>
      <c r="D1008" s="4">
        <f>153.7817 * CHOOSE(CONTROL!$C$9, $C$13, 100%, $E$13) + CHOOSE(CONTROL!$C$28, 0, 0)</f>
        <v>153.7817</v>
      </c>
      <c r="E1008" s="4">
        <f>1161.45363934399 * CHOOSE(CONTROL!$C$9, $C$13, 100%, $E$13) + CHOOSE(CONTROL!$C$28, 0, 0)</f>
        <v>1161.4536393439901</v>
      </c>
    </row>
    <row r="1009" spans="1:5" ht="15">
      <c r="A1009" s="13">
        <v>72228</v>
      </c>
      <c r="B1009" s="4">
        <f>207.2183 * CHOOSE(CONTROL!$C$9, $C$13, 100%, $E$13) + CHOOSE(CONTROL!$C$28, 0.0311, 0)</f>
        <v>207.24940000000001</v>
      </c>
      <c r="C1009" s="4">
        <f>206.855 * CHOOSE(CONTROL!$C$9, $C$13, 100%, $E$13) + CHOOSE(CONTROL!$C$28, 0.0311, 0)</f>
        <v>206.8861</v>
      </c>
      <c r="D1009" s="4">
        <f>153.0038 * CHOOSE(CONTROL!$C$9, $C$13, 100%, $E$13) + CHOOSE(CONTROL!$C$28, 0, 0)</f>
        <v>153.00380000000001</v>
      </c>
      <c r="E1009" s="4">
        <f>1115.16872386326 * CHOOSE(CONTROL!$C$9, $C$13, 100%, $E$13) + CHOOSE(CONTROL!$C$28, 0, 0)</f>
        <v>1115.1687238632601</v>
      </c>
    </row>
    <row r="1010" spans="1:5" ht="15">
      <c r="A1010" s="13">
        <v>72259</v>
      </c>
      <c r="B1010" s="4">
        <f>200.3591 * CHOOSE(CONTROL!$C$9, $C$13, 100%, $E$13) + CHOOSE(CONTROL!$C$28, 0.0003, 0)</f>
        <v>200.35940000000002</v>
      </c>
      <c r="C1010" s="4">
        <f>199.9958 * CHOOSE(CONTROL!$C$9, $C$13, 100%, $E$13) + CHOOSE(CONTROL!$C$28, 0.0003, 0)</f>
        <v>199.99610000000001</v>
      </c>
      <c r="D1010" s="4">
        <f>150.9211 * CHOOSE(CONTROL!$C$9, $C$13, 100%, $E$13) + CHOOSE(CONTROL!$C$28, 0, 0)</f>
        <v>150.9211</v>
      </c>
      <c r="E1010" s="4">
        <f>1078.11673174353 * CHOOSE(CONTROL!$C$9, $C$13, 100%, $E$13) + CHOOSE(CONTROL!$C$28, 0, 0)</f>
        <v>1078.11673174353</v>
      </c>
    </row>
    <row r="1011" spans="1:5" ht="15">
      <c r="A1011" s="13">
        <v>72289</v>
      </c>
      <c r="B1011" s="4">
        <f>195.9412 * CHOOSE(CONTROL!$C$9, $C$13, 100%, $E$13) + CHOOSE(CONTROL!$C$28, 0.0003, 0)</f>
        <v>195.94150000000002</v>
      </c>
      <c r="C1011" s="4">
        <f>195.5779 * CHOOSE(CONTROL!$C$9, $C$13, 100%, $E$13) + CHOOSE(CONTROL!$C$28, 0.0003, 0)</f>
        <v>195.57820000000001</v>
      </c>
      <c r="D1011" s="4">
        <f>150.2051 * CHOOSE(CONTROL!$C$9, $C$13, 100%, $E$13) + CHOOSE(CONTROL!$C$28, 0, 0)</f>
        <v>150.20509999999999</v>
      </c>
      <c r="E1011" s="4">
        <f>1054.25248194888 * CHOOSE(CONTROL!$C$9, $C$13, 100%, $E$13) + CHOOSE(CONTROL!$C$28, 0, 0)</f>
        <v>1054.2524819488799</v>
      </c>
    </row>
    <row r="1012" spans="1:5" ht="15">
      <c r="A1012" s="13">
        <v>72320</v>
      </c>
      <c r="B1012" s="4">
        <f>192.8846 * CHOOSE(CONTROL!$C$9, $C$13, 100%, $E$13) + CHOOSE(CONTROL!$C$28, 0.0003, 0)</f>
        <v>192.88490000000002</v>
      </c>
      <c r="C1012" s="4">
        <f>192.5213 * CHOOSE(CONTROL!$C$9, $C$13, 100%, $E$13) + CHOOSE(CONTROL!$C$28, 0.0003, 0)</f>
        <v>192.52160000000001</v>
      </c>
      <c r="D1012" s="4">
        <f>144.9336 * CHOOSE(CONTROL!$C$9, $C$13, 100%, $E$13) + CHOOSE(CONTROL!$C$28, 0, 0)</f>
        <v>144.93360000000001</v>
      </c>
      <c r="E1012" s="4">
        <f>1037.74148870722 * CHOOSE(CONTROL!$C$9, $C$13, 100%, $E$13) + CHOOSE(CONTROL!$C$28, 0, 0)</f>
        <v>1037.74148870722</v>
      </c>
    </row>
    <row r="1013" spans="1:5" ht="15">
      <c r="A1013" s="13">
        <v>72351</v>
      </c>
      <c r="B1013" s="4">
        <f>187.9183 * CHOOSE(CONTROL!$C$9, $C$13, 100%, $E$13) + CHOOSE(CONTROL!$C$28, 0.0003, 0)</f>
        <v>187.9186</v>
      </c>
      <c r="C1013" s="4">
        <f>187.555 * CHOOSE(CONTROL!$C$9, $C$13, 100%, $E$13) + CHOOSE(CONTROL!$C$28, 0.0003, 0)</f>
        <v>187.55530000000002</v>
      </c>
      <c r="D1013" s="4">
        <f>140.0886 * CHOOSE(CONTROL!$C$9, $C$13, 100%, $E$13) + CHOOSE(CONTROL!$C$28, 0, 0)</f>
        <v>140.08860000000001</v>
      </c>
      <c r="E1013" s="4">
        <f>1007.98301732931 * CHOOSE(CONTROL!$C$9, $C$13, 100%, $E$13) + CHOOSE(CONTROL!$C$28, 0, 0)</f>
        <v>1007.98301732931</v>
      </c>
    </row>
    <row r="1014" spans="1:5" ht="15">
      <c r="A1014" s="13">
        <v>72379</v>
      </c>
      <c r="B1014" s="4">
        <f>192.3619 * CHOOSE(CONTROL!$C$9, $C$13, 100%, $E$13) + CHOOSE(CONTROL!$C$28, 0.0003, 0)</f>
        <v>192.3622</v>
      </c>
      <c r="C1014" s="4">
        <f>191.9986 * CHOOSE(CONTROL!$C$9, $C$13, 100%, $E$13) + CHOOSE(CONTROL!$C$28, 0.0003, 0)</f>
        <v>191.99890000000002</v>
      </c>
      <c r="D1014" s="4">
        <f>144.9675 * CHOOSE(CONTROL!$C$9, $C$13, 100%, $E$13) + CHOOSE(CONTROL!$C$28, 0, 0)</f>
        <v>144.9675</v>
      </c>
      <c r="E1014" s="4">
        <f>1031.9165065305 * CHOOSE(CONTROL!$C$9, $C$13, 100%, $E$13) + CHOOSE(CONTROL!$C$28, 0, 0)</f>
        <v>1031.9165065305001</v>
      </c>
    </row>
    <row r="1015" spans="1:5" ht="15">
      <c r="A1015" s="13">
        <v>72410</v>
      </c>
      <c r="B1015" s="4">
        <f>204.0309 * CHOOSE(CONTROL!$C$9, $C$13, 100%, $E$13) + CHOOSE(CONTROL!$C$28, 0.0003, 0)</f>
        <v>204.03120000000001</v>
      </c>
      <c r="C1015" s="4">
        <f>203.6676 * CHOOSE(CONTROL!$C$9, $C$13, 100%, $E$13) + CHOOSE(CONTROL!$C$28, 0.0003, 0)</f>
        <v>203.6679</v>
      </c>
      <c r="D1015" s="4">
        <f>152.6051 * CHOOSE(CONTROL!$C$9, $C$13, 100%, $E$13) + CHOOSE(CONTROL!$C$28, 0, 0)</f>
        <v>152.60509999999999</v>
      </c>
      <c r="E1015" s="4">
        <f>1094.76712107567 * CHOOSE(CONTROL!$C$9, $C$13, 100%, $E$13) + CHOOSE(CONTROL!$C$28, 0, 0)</f>
        <v>1094.76712107567</v>
      </c>
    </row>
    <row r="1016" spans="1:5" ht="15">
      <c r="A1016" s="13">
        <v>72440</v>
      </c>
      <c r="B1016" s="4">
        <f>212.3219 * CHOOSE(CONTROL!$C$9, $C$13, 100%, $E$13) + CHOOSE(CONTROL!$C$28, 0.0003, 0)</f>
        <v>212.32220000000001</v>
      </c>
      <c r="C1016" s="4">
        <f>211.9586 * CHOOSE(CONTROL!$C$9, $C$13, 100%, $E$13) + CHOOSE(CONTROL!$C$28, 0.0003, 0)</f>
        <v>211.9589</v>
      </c>
      <c r="D1016" s="4">
        <f>157.0046 * CHOOSE(CONTROL!$C$9, $C$13, 100%, $E$13) + CHOOSE(CONTROL!$C$28, 0, 0)</f>
        <v>157.00460000000001</v>
      </c>
      <c r="E1016" s="4">
        <f>1139.42332030459 * CHOOSE(CONTROL!$C$9, $C$13, 100%, $E$13) + CHOOSE(CONTROL!$C$28, 0, 0)</f>
        <v>1139.4233203045901</v>
      </c>
    </row>
    <row r="1017" spans="1:5" ht="15">
      <c r="A1017" s="13">
        <v>72471</v>
      </c>
      <c r="B1017" s="4">
        <f>217.3875 * CHOOSE(CONTROL!$C$9, $C$13, 100%, $E$13) + CHOOSE(CONTROL!$C$28, 0.0311, 0)</f>
        <v>217.4186</v>
      </c>
      <c r="C1017" s="4">
        <f>217.0242 * CHOOSE(CONTROL!$C$9, $C$13, 100%, $E$13) + CHOOSE(CONTROL!$C$28, 0.0311, 0)</f>
        <v>217.05530000000002</v>
      </c>
      <c r="D1017" s="4">
        <f>155.2661 * CHOOSE(CONTROL!$C$9, $C$13, 100%, $E$13) + CHOOSE(CONTROL!$C$28, 0, 0)</f>
        <v>155.26609999999999</v>
      </c>
      <c r="E1017" s="4">
        <f>1166.70718777373 * CHOOSE(CONTROL!$C$9, $C$13, 100%, $E$13) + CHOOSE(CONTROL!$C$28, 0, 0)</f>
        <v>1166.7071877737301</v>
      </c>
    </row>
    <row r="1018" spans="1:5" ht="15">
      <c r="A1018" s="13">
        <v>72501</v>
      </c>
      <c r="B1018" s="4">
        <f>218.0729 * CHOOSE(CONTROL!$C$9, $C$13, 100%, $E$13) + CHOOSE(CONTROL!$C$28, 0.0311, 0)</f>
        <v>218.10400000000001</v>
      </c>
      <c r="C1018" s="4">
        <f>217.7096 * CHOOSE(CONTROL!$C$9, $C$13, 100%, $E$13) + CHOOSE(CONTROL!$C$28, 0.0311, 0)</f>
        <v>217.7407</v>
      </c>
      <c r="D1018" s="4">
        <f>156.682 * CHOOSE(CONTROL!$C$9, $C$13, 100%, $E$13) + CHOOSE(CONTROL!$C$28, 0, 0)</f>
        <v>156.68199999999999</v>
      </c>
      <c r="E1018" s="4">
        <f>1170.39880827268 * CHOOSE(CONTROL!$C$9, $C$13, 100%, $E$13) + CHOOSE(CONTROL!$C$28, 0, 0)</f>
        <v>1170.3988082726801</v>
      </c>
    </row>
    <row r="1019" spans="1:5" ht="15">
      <c r="A1019" s="13">
        <v>72532</v>
      </c>
      <c r="B1019" s="4">
        <f>218.0038 * CHOOSE(CONTROL!$C$9, $C$13, 100%, $E$13) + CHOOSE(CONTROL!$C$28, 0.0311, 0)</f>
        <v>218.03490000000002</v>
      </c>
      <c r="C1019" s="4">
        <f>217.6405 * CHOOSE(CONTROL!$C$9, $C$13, 100%, $E$13) + CHOOSE(CONTROL!$C$28, 0.0311, 0)</f>
        <v>217.67160000000001</v>
      </c>
      <c r="D1019" s="4">
        <f>159.2367 * CHOOSE(CONTROL!$C$9, $C$13, 100%, $E$13) + CHOOSE(CONTROL!$C$28, 0, 0)</f>
        <v>159.23670000000001</v>
      </c>
      <c r="E1019" s="4">
        <f>1170.02654402069 * CHOOSE(CONTROL!$C$9, $C$13, 100%, $E$13) + CHOOSE(CONTROL!$C$28, 0, 0)</f>
        <v>1170.0265440206899</v>
      </c>
    </row>
    <row r="1020" spans="1:5" ht="15">
      <c r="A1020" s="13">
        <v>72563</v>
      </c>
      <c r="B1020" s="4">
        <f>223.2047 * CHOOSE(CONTROL!$C$9, $C$13, 100%, $E$13) + CHOOSE(CONTROL!$C$28, 0.0311, 0)</f>
        <v>223.23580000000001</v>
      </c>
      <c r="C1020" s="4">
        <f>222.8414 * CHOOSE(CONTROL!$C$9, $C$13, 100%, $E$13) + CHOOSE(CONTROL!$C$28, 0.0311, 0)</f>
        <v>222.8725</v>
      </c>
      <c r="D1020" s="4">
        <f>157.5495 * CHOOSE(CONTROL!$C$9, $C$13, 100%, $E$13) + CHOOSE(CONTROL!$C$28, 0, 0)</f>
        <v>157.54949999999999</v>
      </c>
      <c r="E1020" s="4">
        <f>1198.03942898332 * CHOOSE(CONTROL!$C$9, $C$13, 100%, $E$13) + CHOOSE(CONTROL!$C$28, 0, 0)</f>
        <v>1198.03942898332</v>
      </c>
    </row>
    <row r="1021" spans="1:5" ht="15">
      <c r="A1021" s="13">
        <v>72593</v>
      </c>
      <c r="B1021" s="4">
        <f>214.3406 * CHOOSE(CONTROL!$C$9, $C$13, 100%, $E$13) + CHOOSE(CONTROL!$C$28, 0.0311, 0)</f>
        <v>214.3717</v>
      </c>
      <c r="C1021" s="4">
        <f>213.9774 * CHOOSE(CONTROL!$C$9, $C$13, 100%, $E$13) + CHOOSE(CONTROL!$C$28, 0.0311, 0)</f>
        <v>214.0085</v>
      </c>
      <c r="D1021" s="4">
        <f>156.7524 * CHOOSE(CONTROL!$C$9, $C$13, 100%, $E$13) + CHOOSE(CONTROL!$C$28, 0, 0)</f>
        <v>156.75239999999999</v>
      </c>
      <c r="E1021" s="4">
        <f>1150.29653866495 * CHOOSE(CONTROL!$C$9, $C$13, 100%, $E$13) + CHOOSE(CONTROL!$C$28, 0, 0)</f>
        <v>1150.29653866495</v>
      </c>
    </row>
    <row r="1022" spans="1:5" ht="15">
      <c r="A1022" s="13">
        <v>72624</v>
      </c>
      <c r="B1022" s="4">
        <f>207.2448 * CHOOSE(CONTROL!$C$9, $C$13, 100%, $E$13) + CHOOSE(CONTROL!$C$28, 0.0003, 0)</f>
        <v>207.24510000000001</v>
      </c>
      <c r="C1022" s="4">
        <f>206.8815 * CHOOSE(CONTROL!$C$9, $C$13, 100%, $E$13) + CHOOSE(CONTROL!$C$28, 0.0003, 0)</f>
        <v>206.8818</v>
      </c>
      <c r="D1022" s="4">
        <f>154.618 * CHOOSE(CONTROL!$C$9, $C$13, 100%, $E$13) + CHOOSE(CONTROL!$C$28, 0, 0)</f>
        <v>154.61799999999999</v>
      </c>
      <c r="E1022" s="4">
        <f>1112.07740879345 * CHOOSE(CONTROL!$C$9, $C$13, 100%, $E$13) + CHOOSE(CONTROL!$C$28, 0, 0)</f>
        <v>1112.0774087934501</v>
      </c>
    </row>
    <row r="1023" spans="1:5" ht="15">
      <c r="A1023" s="13">
        <v>72654</v>
      </c>
      <c r="B1023" s="4">
        <f>202.6745 * CHOOSE(CONTROL!$C$9, $C$13, 100%, $E$13) + CHOOSE(CONTROL!$C$28, 0.0003, 0)</f>
        <v>202.6748</v>
      </c>
      <c r="C1023" s="4">
        <f>202.3112 * CHOOSE(CONTROL!$C$9, $C$13, 100%, $E$13) + CHOOSE(CONTROL!$C$28, 0.0003, 0)</f>
        <v>202.31150000000002</v>
      </c>
      <c r="D1023" s="4">
        <f>153.8842 * CHOOSE(CONTROL!$C$9, $C$13, 100%, $E$13) + CHOOSE(CONTROL!$C$28, 0, 0)</f>
        <v>153.88419999999999</v>
      </c>
      <c r="E1023" s="4">
        <f>1087.46143513027 * CHOOSE(CONTROL!$C$9, $C$13, 100%, $E$13) + CHOOSE(CONTROL!$C$28, 0, 0)</f>
        <v>1087.46143513027</v>
      </c>
    </row>
    <row r="1024" spans="1:5" ht="15">
      <c r="A1024" s="13">
        <v>72685</v>
      </c>
      <c r="B1024" s="4">
        <f>199.5125 * CHOOSE(CONTROL!$C$9, $C$13, 100%, $E$13) + CHOOSE(CONTROL!$C$28, 0.0003, 0)</f>
        <v>199.5128</v>
      </c>
      <c r="C1024" s="4">
        <f>199.1492 * CHOOSE(CONTROL!$C$9, $C$13, 100%, $E$13) + CHOOSE(CONTROL!$C$28, 0.0003, 0)</f>
        <v>199.14950000000002</v>
      </c>
      <c r="D1024" s="4">
        <f>148.482 * CHOOSE(CONTROL!$C$9, $C$13, 100%, $E$13) + CHOOSE(CONTROL!$C$28, 0, 0)</f>
        <v>148.482</v>
      </c>
      <c r="E1024" s="4">
        <f>1070.43034560149 * CHOOSE(CONTROL!$C$9, $C$13, 100%, $E$13) + CHOOSE(CONTROL!$C$28, 0, 0)</f>
        <v>1070.43034560149</v>
      </c>
    </row>
    <row r="1025" spans="1:5" ht="15">
      <c r="A1025" s="13">
        <v>72716</v>
      </c>
      <c r="B1025" s="4">
        <f>194.3748 * CHOOSE(CONTROL!$C$9, $C$13, 100%, $E$13) + CHOOSE(CONTROL!$C$28, 0.0003, 0)</f>
        <v>194.3751</v>
      </c>
      <c r="C1025" s="4">
        <f>194.0115 * CHOOSE(CONTROL!$C$9, $C$13, 100%, $E$13) + CHOOSE(CONTROL!$C$28, 0.0003, 0)</f>
        <v>194.01180000000002</v>
      </c>
      <c r="D1025" s="4">
        <f>143.5169 * CHOOSE(CONTROL!$C$9, $C$13, 100%, $E$13) + CHOOSE(CONTROL!$C$28, 0, 0)</f>
        <v>143.51689999999999</v>
      </c>
      <c r="E1025" s="4">
        <f>1039.73448237518 * CHOOSE(CONTROL!$C$9, $C$13, 100%, $E$13) + CHOOSE(CONTROL!$C$28, 0, 0)</f>
        <v>1039.7344823751801</v>
      </c>
    </row>
    <row r="1026" spans="1:5" ht="15">
      <c r="A1026" s="13">
        <v>72744</v>
      </c>
      <c r="B1026" s="4">
        <f>198.9717 * CHOOSE(CONTROL!$C$9, $C$13, 100%, $E$13) + CHOOSE(CONTROL!$C$28, 0.0003, 0)</f>
        <v>198.97200000000001</v>
      </c>
      <c r="C1026" s="4">
        <f>198.6084 * CHOOSE(CONTROL!$C$9, $C$13, 100%, $E$13) + CHOOSE(CONTROL!$C$28, 0.0003, 0)</f>
        <v>198.6087</v>
      </c>
      <c r="D1026" s="4">
        <f>148.5168 * CHOOSE(CONTROL!$C$9, $C$13, 100%, $E$13) + CHOOSE(CONTROL!$C$28, 0, 0)</f>
        <v>148.51679999999999</v>
      </c>
      <c r="E1026" s="4">
        <f>1064.42187648621 * CHOOSE(CONTROL!$C$9, $C$13, 100%, $E$13) + CHOOSE(CONTROL!$C$28, 0, 0)</f>
        <v>1064.4218764862101</v>
      </c>
    </row>
    <row r="1027" spans="1:5" ht="15">
      <c r="A1027" s="13">
        <v>72775</v>
      </c>
      <c r="B1027" s="4">
        <f>211.0433 * CHOOSE(CONTROL!$C$9, $C$13, 100%, $E$13) + CHOOSE(CONTROL!$C$28, 0.0003, 0)</f>
        <v>211.0436</v>
      </c>
      <c r="C1027" s="4">
        <f>210.68 * CHOOSE(CONTROL!$C$9, $C$13, 100%, $E$13) + CHOOSE(CONTROL!$C$28, 0.0003, 0)</f>
        <v>210.68030000000002</v>
      </c>
      <c r="D1027" s="4">
        <f>156.3438 * CHOOSE(CONTROL!$C$9, $C$13, 100%, $E$13) + CHOOSE(CONTROL!$C$28, 0, 0)</f>
        <v>156.34379999999999</v>
      </c>
      <c r="E1027" s="4">
        <f>1129.25228538956 * CHOOSE(CONTROL!$C$9, $C$13, 100%, $E$13) + CHOOSE(CONTROL!$C$28, 0, 0)</f>
        <v>1129.25228538956</v>
      </c>
    </row>
    <row r="1028" spans="1:5" ht="15">
      <c r="A1028" s="13">
        <v>72805</v>
      </c>
      <c r="B1028" s="4">
        <f>219.6203 * CHOOSE(CONTROL!$C$9, $C$13, 100%, $E$13) + CHOOSE(CONTROL!$C$28, 0.0003, 0)</f>
        <v>219.6206</v>
      </c>
      <c r="C1028" s="4">
        <f>219.257 * CHOOSE(CONTROL!$C$9, $C$13, 100%, $E$13) + CHOOSE(CONTROL!$C$28, 0.0003, 0)</f>
        <v>219.25730000000001</v>
      </c>
      <c r="D1028" s="4">
        <f>160.8524 * CHOOSE(CONTROL!$C$9, $C$13, 100%, $E$13) + CHOOSE(CONTROL!$C$28, 0, 0)</f>
        <v>160.85239999999999</v>
      </c>
      <c r="E1028" s="4">
        <f>1175.31515489419 * CHOOSE(CONTROL!$C$9, $C$13, 100%, $E$13) + CHOOSE(CONTROL!$C$28, 0, 0)</f>
        <v>1175.3151548941901</v>
      </c>
    </row>
    <row r="1029" spans="1:5" ht="15">
      <c r="A1029" s="13">
        <v>72836</v>
      </c>
      <c r="B1029" s="4">
        <f>224.8607 * CHOOSE(CONTROL!$C$9, $C$13, 100%, $E$13) + CHOOSE(CONTROL!$C$28, 0.0311, 0)</f>
        <v>224.89180000000002</v>
      </c>
      <c r="C1029" s="4">
        <f>224.4974 * CHOOSE(CONTROL!$C$9, $C$13, 100%, $E$13) + CHOOSE(CONTROL!$C$28, 0.0311, 0)</f>
        <v>224.52850000000001</v>
      </c>
      <c r="D1029" s="4">
        <f>159.0708 * CHOOSE(CONTROL!$C$9, $C$13, 100%, $E$13) + CHOOSE(CONTROL!$C$28, 0, 0)</f>
        <v>159.07079999999999</v>
      </c>
      <c r="E1029" s="4">
        <f>1203.45846418861 * CHOOSE(CONTROL!$C$9, $C$13, 100%, $E$13) + CHOOSE(CONTROL!$C$28, 0, 0)</f>
        <v>1203.4584641886099</v>
      </c>
    </row>
    <row r="1030" spans="1:5" ht="15">
      <c r="A1030" s="13">
        <v>72866</v>
      </c>
      <c r="B1030" s="4">
        <f>225.5697 * CHOOSE(CONTROL!$C$9, $C$13, 100%, $E$13) + CHOOSE(CONTROL!$C$28, 0.0311, 0)</f>
        <v>225.60080000000002</v>
      </c>
      <c r="C1030" s="4">
        <f>225.2064 * CHOOSE(CONTROL!$C$9, $C$13, 100%, $E$13) + CHOOSE(CONTROL!$C$28, 0.0311, 0)</f>
        <v>225.23750000000001</v>
      </c>
      <c r="D1030" s="4">
        <f>160.5217 * CHOOSE(CONTROL!$C$9, $C$13, 100%, $E$13) + CHOOSE(CONTROL!$C$28, 0, 0)</f>
        <v>160.52170000000001</v>
      </c>
      <c r="E1030" s="4">
        <f>1207.26637073327 * CHOOSE(CONTROL!$C$9, $C$13, 100%, $E$13) + CHOOSE(CONTROL!$C$28, 0, 0)</f>
        <v>1207.2663707332699</v>
      </c>
    </row>
    <row r="1031" spans="1:5" ht="15">
      <c r="A1031" s="13">
        <v>72897</v>
      </c>
      <c r="B1031" s="4">
        <f>225.4982 * CHOOSE(CONTROL!$C$9, $C$13, 100%, $E$13) + CHOOSE(CONTROL!$C$28, 0.0311, 0)</f>
        <v>225.52930000000001</v>
      </c>
      <c r="C1031" s="4">
        <f>225.1349 * CHOOSE(CONTROL!$C$9, $C$13, 100%, $E$13) + CHOOSE(CONTROL!$C$28, 0.0311, 0)</f>
        <v>225.166</v>
      </c>
      <c r="D1031" s="4">
        <f>163.1398 * CHOOSE(CONTROL!$C$9, $C$13, 100%, $E$13) + CHOOSE(CONTROL!$C$28, 0, 0)</f>
        <v>163.13980000000001</v>
      </c>
      <c r="E1031" s="4">
        <f>1206.88238015734 * CHOOSE(CONTROL!$C$9, $C$13, 100%, $E$13) + CHOOSE(CONTROL!$C$28, 0, 0)</f>
        <v>1206.8823801573401</v>
      </c>
    </row>
    <row r="1032" spans="1:5" ht="15">
      <c r="A1032" s="13">
        <v>72928</v>
      </c>
      <c r="B1032" s="4">
        <f>230.8786 * CHOOSE(CONTROL!$C$9, $C$13, 100%, $E$13) + CHOOSE(CONTROL!$C$28, 0.0311, 0)</f>
        <v>230.90970000000002</v>
      </c>
      <c r="C1032" s="4">
        <f>230.5153 * CHOOSE(CONTROL!$C$9, $C$13, 100%, $E$13) + CHOOSE(CONTROL!$C$28, 0.0311, 0)</f>
        <v>230.54640000000001</v>
      </c>
      <c r="D1032" s="4">
        <f>161.4108 * CHOOSE(CONTROL!$C$9, $C$13, 100%, $E$13) + CHOOSE(CONTROL!$C$28, 0, 0)</f>
        <v>161.41079999999999</v>
      </c>
      <c r="E1032" s="4">
        <f>1235.7776709963 * CHOOSE(CONTROL!$C$9, $C$13, 100%, $E$13) + CHOOSE(CONTROL!$C$28, 0, 0)</f>
        <v>1235.7776709963</v>
      </c>
    </row>
    <row r="1033" spans="1:5" ht="15">
      <c r="A1033" s="13">
        <v>72958</v>
      </c>
      <c r="B1033" s="4">
        <f>221.7087 * CHOOSE(CONTROL!$C$9, $C$13, 100%, $E$13) + CHOOSE(CONTROL!$C$28, 0.0311, 0)</f>
        <v>221.7398</v>
      </c>
      <c r="C1033" s="4">
        <f>221.3454 * CHOOSE(CONTROL!$C$9, $C$13, 100%, $E$13) + CHOOSE(CONTROL!$C$28, 0.0311, 0)</f>
        <v>221.37650000000002</v>
      </c>
      <c r="D1033" s="4">
        <f>160.5939 * CHOOSE(CONTROL!$C$9, $C$13, 100%, $E$13) + CHOOSE(CONTROL!$C$28, 0, 0)</f>
        <v>160.59389999999999</v>
      </c>
      <c r="E1033" s="4">
        <f>1186.53087963289 * CHOOSE(CONTROL!$C$9, $C$13, 100%, $E$13) + CHOOSE(CONTROL!$C$28, 0, 0)</f>
        <v>1186.53087963289</v>
      </c>
    </row>
    <row r="1034" spans="1:5" ht="15">
      <c r="A1034" s="13">
        <v>72989</v>
      </c>
      <c r="B1034" s="4">
        <f>214.368 * CHOOSE(CONTROL!$C$9, $C$13, 100%, $E$13) + CHOOSE(CONTROL!$C$28, 0.0003, 0)</f>
        <v>214.3683</v>
      </c>
      <c r="C1034" s="4">
        <f>214.0047 * CHOOSE(CONTROL!$C$9, $C$13, 100%, $E$13) + CHOOSE(CONTROL!$C$28, 0.0003, 0)</f>
        <v>214.00500000000002</v>
      </c>
      <c r="D1034" s="4">
        <f>158.4066 * CHOOSE(CONTROL!$C$9, $C$13, 100%, $E$13) + CHOOSE(CONTROL!$C$28, 0, 0)</f>
        <v>158.4066</v>
      </c>
      <c r="E1034" s="4">
        <f>1147.10784717044 * CHOOSE(CONTROL!$C$9, $C$13, 100%, $E$13) + CHOOSE(CONTROL!$C$28, 0, 0)</f>
        <v>1147.10784717044</v>
      </c>
    </row>
    <row r="1035" spans="1:5" ht="15">
      <c r="A1035" s="13">
        <v>73019</v>
      </c>
      <c r="B1035" s="4">
        <f>209.6401 * CHOOSE(CONTROL!$C$9, $C$13, 100%, $E$13) + CHOOSE(CONTROL!$C$28, 0.0003, 0)</f>
        <v>209.6404</v>
      </c>
      <c r="C1035" s="4">
        <f>209.2768 * CHOOSE(CONTROL!$C$9, $C$13, 100%, $E$13) + CHOOSE(CONTROL!$C$28, 0.0003, 0)</f>
        <v>209.27710000000002</v>
      </c>
      <c r="D1035" s="4">
        <f>157.6546 * CHOOSE(CONTROL!$C$9, $C$13, 100%, $E$13) + CHOOSE(CONTROL!$C$28, 0, 0)</f>
        <v>157.65459999999999</v>
      </c>
      <c r="E1035" s="4">
        <f>1121.71647033687 * CHOOSE(CONTROL!$C$9, $C$13, 100%, $E$13) + CHOOSE(CONTROL!$C$28, 0, 0)</f>
        <v>1121.7164703368701</v>
      </c>
    </row>
    <row r="1036" spans="1:5" ht="15">
      <c r="A1036" s="13">
        <v>73050</v>
      </c>
      <c r="B1036" s="4">
        <f>206.369 * CHOOSE(CONTROL!$C$9, $C$13, 100%, $E$13) + CHOOSE(CONTROL!$C$28, 0.0003, 0)</f>
        <v>206.36930000000001</v>
      </c>
      <c r="C1036" s="4">
        <f>206.0057 * CHOOSE(CONTROL!$C$9, $C$13, 100%, $E$13) + CHOOSE(CONTROL!$C$28, 0.0003, 0)</f>
        <v>206.006</v>
      </c>
      <c r="D1036" s="4">
        <f>152.1184 * CHOOSE(CONTROL!$C$9, $C$13, 100%, $E$13) + CHOOSE(CONTROL!$C$28, 0, 0)</f>
        <v>152.11840000000001</v>
      </c>
      <c r="E1036" s="4">
        <f>1104.14890148794 * CHOOSE(CONTROL!$C$9, $C$13, 100%, $E$13) + CHOOSE(CONTROL!$C$28, 0, 0)</f>
        <v>1104.1489014879401</v>
      </c>
    </row>
    <row r="1037" spans="1:5" ht="15">
      <c r="A1037" s="13">
        <v>73081</v>
      </c>
      <c r="B1037" s="4">
        <f>201.0541 * CHOOSE(CONTROL!$C$9, $C$13, 100%, $E$13) + CHOOSE(CONTROL!$C$28, 0.0003, 0)</f>
        <v>201.05440000000002</v>
      </c>
      <c r="C1037" s="4">
        <f>200.6908 * CHOOSE(CONTROL!$C$9, $C$13, 100%, $E$13) + CHOOSE(CONTROL!$C$28, 0.0003, 0)</f>
        <v>200.69110000000001</v>
      </c>
      <c r="D1037" s="4">
        <f>147.0302 * CHOOSE(CONTROL!$C$9, $C$13, 100%, $E$13) + CHOOSE(CONTROL!$C$28, 0, 0)</f>
        <v>147.03020000000001</v>
      </c>
      <c r="E1037" s="4">
        <f>1072.48611857 * CHOOSE(CONTROL!$C$9, $C$13, 100%, $E$13) + CHOOSE(CONTROL!$C$28, 0, 0)</f>
        <v>1072.4861185699999</v>
      </c>
    </row>
    <row r="1038" spans="1:5" ht="15">
      <c r="A1038" s="13">
        <v>73109</v>
      </c>
      <c r="B1038" s="4">
        <f>205.8095 * CHOOSE(CONTROL!$C$9, $C$13, 100%, $E$13) + CHOOSE(CONTROL!$C$28, 0.0003, 0)</f>
        <v>205.80980000000002</v>
      </c>
      <c r="C1038" s="4">
        <f>205.4462 * CHOOSE(CONTROL!$C$9, $C$13, 100%, $E$13) + CHOOSE(CONTROL!$C$28, 0.0003, 0)</f>
        <v>205.44650000000001</v>
      </c>
      <c r="D1038" s="4">
        <f>152.1541 * CHOOSE(CONTROL!$C$9, $C$13, 100%, $E$13) + CHOOSE(CONTROL!$C$28, 0, 0)</f>
        <v>152.1541</v>
      </c>
      <c r="E1038" s="4">
        <f>1097.95116559552 * CHOOSE(CONTROL!$C$9, $C$13, 100%, $E$13) + CHOOSE(CONTROL!$C$28, 0, 0)</f>
        <v>1097.95116559552</v>
      </c>
    </row>
    <row r="1039" spans="1:5" ht="15">
      <c r="A1039" s="13">
        <v>73140</v>
      </c>
      <c r="B1039" s="4">
        <f>218.2976 * CHOOSE(CONTROL!$C$9, $C$13, 100%, $E$13) + CHOOSE(CONTROL!$C$28, 0.0003, 0)</f>
        <v>218.2979</v>
      </c>
      <c r="C1039" s="4">
        <f>217.9343 * CHOOSE(CONTROL!$C$9, $C$13, 100%, $E$13) + CHOOSE(CONTROL!$C$28, 0.0003, 0)</f>
        <v>217.93460000000002</v>
      </c>
      <c r="D1039" s="4">
        <f>160.1752 * CHOOSE(CONTROL!$C$9, $C$13, 100%, $E$13) + CHOOSE(CONTROL!$C$28, 0, 0)</f>
        <v>160.17519999999999</v>
      </c>
      <c r="E1039" s="4">
        <f>1164.82373237933 * CHOOSE(CONTROL!$C$9, $C$13, 100%, $E$13) + CHOOSE(CONTROL!$C$28, 0, 0)</f>
        <v>1164.8237323793301</v>
      </c>
    </row>
    <row r="1040" spans="1:5" ht="15">
      <c r="A1040" s="13">
        <v>73170</v>
      </c>
      <c r="B1040" s="4">
        <f>227.1705 * CHOOSE(CONTROL!$C$9, $C$13, 100%, $E$13) + CHOOSE(CONTROL!$C$28, 0.0003, 0)</f>
        <v>227.17080000000001</v>
      </c>
      <c r="C1040" s="4">
        <f>226.8072 * CHOOSE(CONTROL!$C$9, $C$13, 100%, $E$13) + CHOOSE(CONTROL!$C$28, 0.0003, 0)</f>
        <v>226.8075</v>
      </c>
      <c r="D1040" s="4">
        <f>164.7956 * CHOOSE(CONTROL!$C$9, $C$13, 100%, $E$13) + CHOOSE(CONTROL!$C$28, 0, 0)</f>
        <v>164.79560000000001</v>
      </c>
      <c r="E1040" s="4">
        <f>1212.33758227335 * CHOOSE(CONTROL!$C$9, $C$13, 100%, $E$13) + CHOOSE(CONTROL!$C$28, 0, 0)</f>
        <v>1212.3375822733501</v>
      </c>
    </row>
    <row r="1041" spans="1:5" ht="15">
      <c r="A1041" s="13">
        <v>73201</v>
      </c>
      <c r="B1041" s="4">
        <f>232.5917 * CHOOSE(CONTROL!$C$9, $C$13, 100%, $E$13) + CHOOSE(CONTROL!$C$28, 0.0311, 0)</f>
        <v>232.62280000000001</v>
      </c>
      <c r="C1041" s="4">
        <f>232.2284 * CHOOSE(CONTROL!$C$9, $C$13, 100%, $E$13) + CHOOSE(CONTROL!$C$28, 0.0311, 0)</f>
        <v>232.2595</v>
      </c>
      <c r="D1041" s="4">
        <f>162.9698 * CHOOSE(CONTROL!$C$9, $C$13, 100%, $E$13) + CHOOSE(CONTROL!$C$28, 0, 0)</f>
        <v>162.96979999999999</v>
      </c>
      <c r="E1041" s="4">
        <f>1241.36740581055 * CHOOSE(CONTROL!$C$9, $C$13, 100%, $E$13) + CHOOSE(CONTROL!$C$28, 0, 0)</f>
        <v>1241.3674058105501</v>
      </c>
    </row>
    <row r="1042" spans="1:5" ht="15">
      <c r="A1042" s="13">
        <v>73231</v>
      </c>
      <c r="B1042" s="4">
        <f>233.3252 * CHOOSE(CONTROL!$C$9, $C$13, 100%, $E$13) + CHOOSE(CONTROL!$C$28, 0.0311, 0)</f>
        <v>233.3563</v>
      </c>
      <c r="C1042" s="4">
        <f>232.9619 * CHOOSE(CONTROL!$C$9, $C$13, 100%, $E$13) + CHOOSE(CONTROL!$C$28, 0.0311, 0)</f>
        <v>232.99300000000002</v>
      </c>
      <c r="D1042" s="4">
        <f>164.4568 * CHOOSE(CONTROL!$C$9, $C$13, 100%, $E$13) + CHOOSE(CONTROL!$C$28, 0, 0)</f>
        <v>164.45679999999999</v>
      </c>
      <c r="E1042" s="4">
        <f>1245.29526141137 * CHOOSE(CONTROL!$C$9, $C$13, 100%, $E$13) + CHOOSE(CONTROL!$C$28, 0, 0)</f>
        <v>1245.2952614113699</v>
      </c>
    </row>
    <row r="1043" spans="1:5" ht="15">
      <c r="A1043" s="13">
        <v>73262</v>
      </c>
      <c r="B1043" s="4">
        <f>233.2512 * CHOOSE(CONTROL!$C$9, $C$13, 100%, $E$13) + CHOOSE(CONTROL!$C$28, 0.0311, 0)</f>
        <v>233.28230000000002</v>
      </c>
      <c r="C1043" s="4">
        <f>232.8879 * CHOOSE(CONTROL!$C$9, $C$13, 100%, $E$13) + CHOOSE(CONTROL!$C$28, 0.0311, 0)</f>
        <v>232.91900000000001</v>
      </c>
      <c r="D1043" s="4">
        <f>167.1397 * CHOOSE(CONTROL!$C$9, $C$13, 100%, $E$13) + CHOOSE(CONTROL!$C$28, 0, 0)</f>
        <v>167.1397</v>
      </c>
      <c r="E1043" s="4">
        <f>1244.8991751323 * CHOOSE(CONTROL!$C$9, $C$13, 100%, $E$13) + CHOOSE(CONTROL!$C$28, 0, 0)</f>
        <v>1244.8991751322999</v>
      </c>
    </row>
    <row r="1044" spans="1:5" ht="15">
      <c r="A1044" s="13">
        <v>73293</v>
      </c>
      <c r="B1044" s="4">
        <f>238.8172 * CHOOSE(CONTROL!$C$9, $C$13, 100%, $E$13) + CHOOSE(CONTROL!$C$28, 0.0311, 0)</f>
        <v>238.84830000000002</v>
      </c>
      <c r="C1044" s="4">
        <f>238.4539 * CHOOSE(CONTROL!$C$9, $C$13, 100%, $E$13) + CHOOSE(CONTROL!$C$28, 0.0311, 0)</f>
        <v>238.48500000000001</v>
      </c>
      <c r="D1044" s="4">
        <f>165.3679 * CHOOSE(CONTROL!$C$9, $C$13, 100%, $E$13) + CHOOSE(CONTROL!$C$28, 0, 0)</f>
        <v>165.36789999999999</v>
      </c>
      <c r="E1044" s="4">
        <f>1274.70466763268 * CHOOSE(CONTROL!$C$9, $C$13, 100%, $E$13) + CHOOSE(CONTROL!$C$28, 0, 0)</f>
        <v>1274.70466763268</v>
      </c>
    </row>
    <row r="1045" spans="1:5" ht="15">
      <c r="A1045" s="13">
        <v>73323</v>
      </c>
      <c r="B1045" s="4">
        <f>229.331 * CHOOSE(CONTROL!$C$9, $C$13, 100%, $E$13) + CHOOSE(CONTROL!$C$28, 0.0311, 0)</f>
        <v>229.3621</v>
      </c>
      <c r="C1045" s="4">
        <f>228.9677 * CHOOSE(CONTROL!$C$9, $C$13, 100%, $E$13) + CHOOSE(CONTROL!$C$28, 0.0311, 0)</f>
        <v>228.99880000000002</v>
      </c>
      <c r="D1045" s="4">
        <f>164.5307 * CHOOSE(CONTROL!$C$9, $C$13, 100%, $E$13) + CHOOSE(CONTROL!$C$28, 0, 0)</f>
        <v>164.5307</v>
      </c>
      <c r="E1045" s="4">
        <f>1223.90660234133 * CHOOSE(CONTROL!$C$9, $C$13, 100%, $E$13) + CHOOSE(CONTROL!$C$28, 0, 0)</f>
        <v>1223.90660234133</v>
      </c>
    </row>
    <row r="1046" spans="1:5" ht="15">
      <c r="A1046" s="13">
        <v>73354</v>
      </c>
      <c r="B1046" s="4">
        <f>221.737 * CHOOSE(CONTROL!$C$9, $C$13, 100%, $E$13) + CHOOSE(CONTROL!$C$28, 0.0003, 0)</f>
        <v>221.7373</v>
      </c>
      <c r="C1046" s="4">
        <f>221.3738 * CHOOSE(CONTROL!$C$9, $C$13, 100%, $E$13) + CHOOSE(CONTROL!$C$28, 0.0003, 0)</f>
        <v>221.3741</v>
      </c>
      <c r="D1046" s="4">
        <f>162.2892 * CHOOSE(CONTROL!$C$9, $C$13, 100%, $E$13) + CHOOSE(CONTROL!$C$28, 0, 0)</f>
        <v>162.28919999999999</v>
      </c>
      <c r="E1046" s="4">
        <f>1183.24174435631 * CHOOSE(CONTROL!$C$9, $C$13, 100%, $E$13) + CHOOSE(CONTROL!$C$28, 0, 0)</f>
        <v>1183.2417443563099</v>
      </c>
    </row>
    <row r="1047" spans="1:5" ht="15">
      <c r="A1047" s="13">
        <v>73384</v>
      </c>
      <c r="B1047" s="4">
        <f>216.846 * CHOOSE(CONTROL!$C$9, $C$13, 100%, $E$13) + CHOOSE(CONTROL!$C$28, 0.0003, 0)</f>
        <v>216.84630000000001</v>
      </c>
      <c r="C1047" s="4">
        <f>216.4827 * CHOOSE(CONTROL!$C$9, $C$13, 100%, $E$13) + CHOOSE(CONTROL!$C$28, 0.0003, 0)</f>
        <v>216.483</v>
      </c>
      <c r="D1047" s="4">
        <f>161.5186 * CHOOSE(CONTROL!$C$9, $C$13, 100%, $E$13) + CHOOSE(CONTROL!$C$28, 0, 0)</f>
        <v>161.51859999999999</v>
      </c>
      <c r="E1047" s="4">
        <f>1157.05053915249 * CHOOSE(CONTROL!$C$9, $C$13, 100%, $E$13) + CHOOSE(CONTROL!$C$28, 0, 0)</f>
        <v>1157.05053915249</v>
      </c>
    </row>
    <row r="1048" spans="1:5" ht="15">
      <c r="A1048" s="13">
        <v>73415</v>
      </c>
      <c r="B1048" s="4">
        <f>213.462 * CHOOSE(CONTROL!$C$9, $C$13, 100%, $E$13) + CHOOSE(CONTROL!$C$28, 0.0003, 0)</f>
        <v>213.4623</v>
      </c>
      <c r="C1048" s="4">
        <f>213.0987 * CHOOSE(CONTROL!$C$9, $C$13, 100%, $E$13) + CHOOSE(CONTROL!$C$28, 0.0003, 0)</f>
        <v>213.09900000000002</v>
      </c>
      <c r="D1048" s="4">
        <f>155.845 * CHOOSE(CONTROL!$C$9, $C$13, 100%, $E$13) + CHOOSE(CONTROL!$C$28, 0, 0)</f>
        <v>155.845</v>
      </c>
      <c r="E1048" s="4">
        <f>1138.92959188481 * CHOOSE(CONTROL!$C$9, $C$13, 100%, $E$13) + CHOOSE(CONTROL!$C$28, 0, 0)</f>
        <v>1138.92959188481</v>
      </c>
    </row>
    <row r="1049" spans="1:5" ht="15">
      <c r="A1049" s="10"/>
      <c r="B1049" s="4"/>
      <c r="C1049" s="4"/>
      <c r="D1049" s="4"/>
      <c r="E1049" s="4"/>
    </row>
    <row r="1050" spans="1:5" ht="15">
      <c r="A1050" s="3">
        <v>2015</v>
      </c>
      <c r="B1050" s="4">
        <f>AVERAGE(B17:B28)</f>
        <v>8.193858333333333</v>
      </c>
      <c r="C1050" s="4">
        <f>AVERAGE(C17:C28)</f>
        <v>7.8305749999999996</v>
      </c>
      <c r="D1050" s="4">
        <f>AVERAGE(D17:D28)</f>
        <v>14.571316666666666</v>
      </c>
      <c r="E1050" s="4">
        <f>AVERAGE(E17:E28)</f>
        <v>50.443333333333335</v>
      </c>
    </row>
    <row r="1051" spans="1:5" ht="15">
      <c r="A1051" s="3">
        <v>2016</v>
      </c>
      <c r="B1051" s="4">
        <f>AVERAGE(B29:B40)</f>
        <v>8.2299333333333333</v>
      </c>
      <c r="C1051" s="4">
        <f>AVERAGE(C29:C40)</f>
        <v>7.8666333333333354</v>
      </c>
      <c r="D1051" s="4">
        <f>AVERAGE(D29:D40)</f>
        <v>13.765166666666666</v>
      </c>
      <c r="E1051" s="4">
        <f>AVERAGE(E29:E40)</f>
        <v>50.435833333333328</v>
      </c>
    </row>
    <row r="1052" spans="1:5" ht="15">
      <c r="A1052" s="3">
        <v>2017</v>
      </c>
      <c r="B1052" s="4">
        <f>AVERAGE(B41:B52)</f>
        <v>8.8956916666666661</v>
      </c>
      <c r="C1052" s="4">
        <f>AVERAGE(C41:C52)</f>
        <v>8.5324000000000009</v>
      </c>
      <c r="D1052" s="4">
        <f>AVERAGE(D41:D52)</f>
        <v>14.639208333333334</v>
      </c>
      <c r="E1052" s="4">
        <f>AVERAGE(E41:E52)</f>
        <v>54.696666666666665</v>
      </c>
    </row>
    <row r="1053" spans="1:5" ht="15">
      <c r="A1053" s="3">
        <v>2018</v>
      </c>
      <c r="B1053" s="4">
        <f>AVERAGE(B53:B64)</f>
        <v>11.084166666666667</v>
      </c>
      <c r="C1053" s="4">
        <f>AVERAGE(C53:C64)</f>
        <v>10.720874999999999</v>
      </c>
      <c r="D1053" s="4">
        <f>AVERAGE(D53:D64)</f>
        <v>17.171216666666666</v>
      </c>
      <c r="E1053" s="4">
        <f>AVERAGE(E53:E64)</f>
        <v>69.458750000000009</v>
      </c>
    </row>
    <row r="1054" spans="1:5" ht="15">
      <c r="A1054" s="3">
        <v>2019</v>
      </c>
      <c r="B1054" s="4">
        <f>AVERAGE(B65:B76)</f>
        <v>11.557591666666667</v>
      </c>
      <c r="C1054" s="4">
        <f>AVERAGE(C65:C76)</f>
        <v>11.194333333333333</v>
      </c>
      <c r="D1054" s="4">
        <f>AVERAGE(D65:D76)</f>
        <v>17.766099999999998</v>
      </c>
      <c r="E1054" s="4">
        <f>AVERAGE(E65:E76)</f>
        <v>72.879584248860681</v>
      </c>
    </row>
    <row r="1055" spans="1:5" ht="15">
      <c r="A1055" s="3">
        <v>2020</v>
      </c>
      <c r="B1055" s="4">
        <f>AVERAGE(B77:B88)</f>
        <v>14.118466666666668</v>
      </c>
      <c r="C1055" s="4">
        <f>AVERAGE(C77:C88)</f>
        <v>13.755191666666667</v>
      </c>
      <c r="D1055" s="4">
        <f>AVERAGE(D77:D88)</f>
        <v>20.875616666666666</v>
      </c>
      <c r="E1055" s="4">
        <f>AVERAGE(E77:E88)</f>
        <v>90.846992492675781</v>
      </c>
    </row>
    <row r="1056" spans="1:5" ht="15">
      <c r="A1056" s="3">
        <v>2021</v>
      </c>
      <c r="B1056" s="4">
        <f>AVERAGE(B89:B100)</f>
        <v>14.758450000000002</v>
      </c>
      <c r="C1056" s="4">
        <f>AVERAGE(C89:C100)</f>
        <v>14.395175</v>
      </c>
      <c r="D1056" s="4">
        <f>AVERAGE(D89:D100)</f>
        <v>21.724774999999998</v>
      </c>
      <c r="E1056" s="4">
        <f>AVERAGE(E89:E100)</f>
        <v>94.618591308593793</v>
      </c>
    </row>
    <row r="1057" spans="1:5" ht="15">
      <c r="A1057" s="3">
        <v>2022</v>
      </c>
      <c r="B1057" s="4">
        <f>AVERAGE(B101:B112)</f>
        <v>15.511941666666665</v>
      </c>
      <c r="C1057" s="4">
        <f>AVERAGE(C101:C112)</f>
        <v>15.148683333333333</v>
      </c>
      <c r="D1057" s="4">
        <f>AVERAGE(D101:D112)</f>
        <v>22.795791666666663</v>
      </c>
      <c r="E1057" s="4">
        <f>AVERAGE(E101:E112)</f>
        <v>99.389778137206847</v>
      </c>
    </row>
    <row r="1058" spans="1:5" ht="15">
      <c r="A1058" s="3">
        <v>2023</v>
      </c>
      <c r="B1058" s="4">
        <f>AVERAGE(B113:B124)</f>
        <v>16.316524999999999</v>
      </c>
      <c r="C1058" s="4">
        <f>AVERAGE(C113:C124)</f>
        <v>15.953249999999997</v>
      </c>
      <c r="D1058" s="4">
        <f>AVERAGE(D113:D124)</f>
        <v>23.840041666666664</v>
      </c>
      <c r="E1058" s="4">
        <f>AVERAGE(E113:E124)</f>
        <v>104.16054534912108</v>
      </c>
    </row>
    <row r="1059" spans="1:5" ht="15">
      <c r="A1059" s="3">
        <v>2024</v>
      </c>
      <c r="B1059" s="4">
        <f>AVERAGE(B125:B136)</f>
        <v>17.150249999999996</v>
      </c>
      <c r="C1059" s="4">
        <f>AVERAGE(C125:C136)</f>
        <v>16.786958333333335</v>
      </c>
      <c r="D1059" s="4">
        <f>AVERAGE(D125:D136)</f>
        <v>25.213208333333331</v>
      </c>
      <c r="E1059" s="4">
        <f>AVERAGE(E125:E136)</f>
        <v>108.93090057373041</v>
      </c>
    </row>
    <row r="1060" spans="1:5" ht="15">
      <c r="A1060" s="3">
        <v>2025</v>
      </c>
      <c r="B1060" s="4">
        <f>AVERAGE(B137:B148)</f>
        <v>18.511574999999997</v>
      </c>
      <c r="C1060" s="4">
        <f>AVERAGE(C137:C148)</f>
        <v>18.148291666666669</v>
      </c>
      <c r="D1060" s="4">
        <f>AVERAGE(D137:D148)</f>
        <v>26.551458333333333</v>
      </c>
      <c r="E1060" s="4">
        <f>AVERAGE(E137:E148)</f>
        <v>114.7008361816405</v>
      </c>
    </row>
    <row r="1061" spans="1:5" ht="15">
      <c r="A1061" s="3">
        <v>2026</v>
      </c>
      <c r="B1061" s="4">
        <f>AVERAGE(B149:B160)</f>
        <v>19.091258333333332</v>
      </c>
      <c r="C1061" s="4">
        <f>AVERAGE(C149:C160)</f>
        <v>18.727974999999997</v>
      </c>
      <c r="D1061" s="4">
        <f>AVERAGE(D149:D160)</f>
        <v>27.302383333333339</v>
      </c>
      <c r="E1061" s="4">
        <f>AVERAGE(E149:E160)</f>
        <v>118.55784606933582</v>
      </c>
    </row>
    <row r="1062" spans="1:5" ht="15">
      <c r="A1062" s="3">
        <v>2027</v>
      </c>
      <c r="B1062" s="4">
        <f>AVERAGE(B161:B172)</f>
        <v>19.685008333333332</v>
      </c>
      <c r="C1062" s="4">
        <f>AVERAGE(C161:C172)</f>
        <v>19.321733333333331</v>
      </c>
      <c r="D1062" s="4">
        <f>AVERAGE(D161:D172)</f>
        <v>28.050908333333329</v>
      </c>
      <c r="E1062" s="4">
        <f>AVERAGE(E161:E172)</f>
        <v>122.41442108154308</v>
      </c>
    </row>
    <row r="1063" spans="1:5" ht="15">
      <c r="A1063" s="3">
        <v>2028</v>
      </c>
      <c r="B1063" s="4">
        <f>AVERAGE(B173:B184)</f>
        <v>20.239691666666666</v>
      </c>
      <c r="C1063" s="4">
        <f>AVERAGE(C173:C184)</f>
        <v>19.876416666666668</v>
      </c>
      <c r="D1063" s="4">
        <f>AVERAGE(D173:D184)</f>
        <v>28.740366666666663</v>
      </c>
      <c r="E1063" s="4">
        <f>AVERAGE(E173:E184)</f>
        <v>126.27056884765624</v>
      </c>
    </row>
    <row r="1064" spans="1:5" ht="15">
      <c r="A1064" s="3">
        <v>2029</v>
      </c>
      <c r="B1064" s="4">
        <f>AVERAGE(B185:B196)</f>
        <v>20.841258333333332</v>
      </c>
      <c r="C1064" s="4">
        <f>AVERAGE(C185:C196)</f>
        <v>20.477966666666664</v>
      </c>
      <c r="D1064" s="4">
        <f>AVERAGE(D185:D196)</f>
        <v>29.379350000000002</v>
      </c>
      <c r="E1064" s="4">
        <f>AVERAGE(E185:E196)</f>
        <v>130.12626647949216</v>
      </c>
    </row>
    <row r="1065" spans="1:5" ht="15">
      <c r="A1065" s="3">
        <v>2030</v>
      </c>
      <c r="B1065" s="4">
        <f>AVERAGE(B197:B208)</f>
        <v>21.442816666666669</v>
      </c>
      <c r="C1065" s="4">
        <f>AVERAGE(C197:C208)</f>
        <v>21.079524999999997</v>
      </c>
      <c r="D1065" s="4">
        <f>AVERAGE(D197:D208)</f>
        <v>30.026058333333335</v>
      </c>
      <c r="E1065" s="4">
        <f>AVERAGE(E197:E208)</f>
        <v>133.98153686523432</v>
      </c>
    </row>
    <row r="1066" spans="1:5" ht="15">
      <c r="A1066" s="3">
        <v>2031</v>
      </c>
      <c r="B1066" s="4">
        <f>AVERAGE(B209:B220)</f>
        <v>22.192816666666669</v>
      </c>
      <c r="C1066" s="4">
        <f>AVERAGE(C209:C220)</f>
        <v>21.82954166666666</v>
      </c>
      <c r="D1066" s="4">
        <f>AVERAGE(D209:D220)</f>
        <v>30.848808333333334</v>
      </c>
      <c r="E1066" s="4">
        <f>AVERAGE(E209:E220)</f>
        <v>138.83634948730472</v>
      </c>
    </row>
    <row r="1067" spans="1:5" ht="15">
      <c r="A1067" s="3">
        <v>2032</v>
      </c>
      <c r="B1067" s="4">
        <f>AVERAGE(B221:B232)</f>
        <v>22.958458333333329</v>
      </c>
      <c r="C1067" s="4">
        <f>AVERAGE(C221:C232)</f>
        <v>22.595166666666668</v>
      </c>
      <c r="D1067" s="4">
        <f>AVERAGE(D221:D232)</f>
        <v>31.671558333333337</v>
      </c>
      <c r="E1067" s="4">
        <f>AVERAGE(E221:E232)</f>
        <v>143.69071960449216</v>
      </c>
    </row>
    <row r="1068" spans="1:5" ht="15">
      <c r="A1068" s="3">
        <v>2033</v>
      </c>
      <c r="B1068" s="4">
        <f>AVERAGE(B233:B244)</f>
        <v>23.724083333333329</v>
      </c>
      <c r="C1068" s="4">
        <f>AVERAGE(C233:C244)</f>
        <v>23.360783333333334</v>
      </c>
      <c r="D1068" s="4">
        <f>AVERAGE(D233:D244)</f>
        <v>32.494324999999996</v>
      </c>
      <c r="E1068" s="4">
        <f>AVERAGE(E233:E244)</f>
        <v>148.54461669921872</v>
      </c>
    </row>
    <row r="1069" spans="1:5" ht="15">
      <c r="A1069" s="3">
        <v>2034</v>
      </c>
      <c r="B1069" s="4">
        <f>AVERAGE(B245:B256)</f>
        <v>24.489691666666662</v>
      </c>
      <c r="C1069" s="4">
        <f>AVERAGE(C245:C256)</f>
        <v>24.126408333333334</v>
      </c>
      <c r="D1069" s="4">
        <f>AVERAGE(D245:D256)</f>
        <v>33.317074999999996</v>
      </c>
      <c r="E1069" s="4">
        <f>AVERAGE(E245:E256)</f>
        <v>153.39807128906259</v>
      </c>
    </row>
    <row r="1070" spans="1:5" ht="15">
      <c r="A1070" s="3">
        <v>2035</v>
      </c>
      <c r="B1070" s="4">
        <f>AVERAGE(B257:B268)</f>
        <v>25.255333333333336</v>
      </c>
      <c r="C1070" s="4">
        <f>AVERAGE(C257:C268)</f>
        <v>24.892033333333327</v>
      </c>
      <c r="D1070" s="4">
        <f>AVERAGE(D257:D268)</f>
        <v>34.167283333333337</v>
      </c>
      <c r="E1070" s="4">
        <f>AVERAGE(E257:E268)</f>
        <v>158.2510528564454</v>
      </c>
    </row>
    <row r="1071" spans="1:5" ht="15">
      <c r="A1071" s="3">
        <v>2036</v>
      </c>
      <c r="B1071" s="4">
        <f>AVERAGE(B269:B280)</f>
        <v>26.099483333333335</v>
      </c>
      <c r="C1071" s="4">
        <f>AVERAGE(C269:C280)</f>
        <v>25.73619166666667</v>
      </c>
      <c r="D1071" s="4">
        <f>AVERAGE(D269:D280)</f>
        <v>34.968699999999998</v>
      </c>
      <c r="E1071" s="4">
        <f>AVERAGE(E269:E280)</f>
        <v>163.23596102142335</v>
      </c>
    </row>
    <row r="1072" spans="1:5" ht="15">
      <c r="A1072" s="3">
        <v>2037</v>
      </c>
      <c r="B1072" s="4">
        <f>AVERAGE(B281:B292)</f>
        <v>26.972791666666666</v>
      </c>
      <c r="C1072" s="4">
        <f>AVERAGE(C281:C292)</f>
        <v>26.609508333333334</v>
      </c>
      <c r="D1072" s="4">
        <f>AVERAGE(D281:D292)</f>
        <v>35.79</v>
      </c>
      <c r="E1072" s="4">
        <f>AVERAGE(E281:E292)</f>
        <v>168.3778937935981</v>
      </c>
    </row>
    <row r="1073" spans="1:5" ht="15">
      <c r="A1073" s="3">
        <f t="shared" ref="A1073:A1104" si="0">A1072+1</f>
        <v>2038</v>
      </c>
      <c r="B1073" s="4">
        <f>AVERAGE(B293:B304)</f>
        <v>27.876208333333327</v>
      </c>
      <c r="C1073" s="4">
        <f>AVERAGE(C293:C304)</f>
        <v>27.512933333333333</v>
      </c>
      <c r="D1073" s="4">
        <f>AVERAGE(D293:D304)</f>
        <v>36.631675000000001</v>
      </c>
      <c r="E1073" s="4">
        <f>AVERAGE(E293:E304)</f>
        <v>173.68179744809652</v>
      </c>
    </row>
    <row r="1074" spans="1:5" ht="15">
      <c r="A1074" s="3">
        <f t="shared" si="0"/>
        <v>2039</v>
      </c>
      <c r="B1074" s="4">
        <f>AVERAGE(B305:B316)</f>
        <v>28.810808333333338</v>
      </c>
      <c r="C1074" s="4">
        <f>AVERAGE(C305:C316)</f>
        <v>28.447533333333336</v>
      </c>
      <c r="D1074" s="4">
        <f>AVERAGE(D305:D316)</f>
        <v>37.494199999999999</v>
      </c>
      <c r="E1074" s="4">
        <f>AVERAGE(E305:E316)</f>
        <v>179.15277406771168</v>
      </c>
    </row>
    <row r="1075" spans="1:5" ht="15">
      <c r="A1075" s="3">
        <f t="shared" si="0"/>
        <v>2040</v>
      </c>
      <c r="B1075" s="4">
        <f>AVERAGE(B317:B328)</f>
        <v>29.777658333333335</v>
      </c>
      <c r="C1075" s="4">
        <f>AVERAGE(C317:C328)</f>
        <v>29.414366666666663</v>
      </c>
      <c r="D1075" s="4">
        <f>AVERAGE(D317:D328)</f>
        <v>38.378141666666664</v>
      </c>
      <c r="E1075" s="4">
        <f>AVERAGE(E317:E328)</f>
        <v>184.79608645084451</v>
      </c>
    </row>
    <row r="1076" spans="1:5" ht="15">
      <c r="A1076" s="3">
        <f t="shared" si="0"/>
        <v>2041</v>
      </c>
      <c r="B1076" s="4">
        <f>AVERAGE(B329:B340)</f>
        <v>30.777825000000007</v>
      </c>
      <c r="C1076" s="4">
        <f>AVERAGE(C329:C340)</f>
        <v>30.414566666666662</v>
      </c>
      <c r="D1076" s="4">
        <f>AVERAGE(D329:D340)</f>
        <v>39.283991666666665</v>
      </c>
      <c r="E1076" s="4">
        <f>AVERAGE(E329:E340)</f>
        <v>190.61716317404611</v>
      </c>
    </row>
    <row r="1077" spans="1:5" ht="15">
      <c r="A1077" s="3">
        <f t="shared" si="0"/>
        <v>2042</v>
      </c>
      <c r="B1077" s="4">
        <f>AVERAGE(B341:B352)</f>
        <v>31.812541666666664</v>
      </c>
      <c r="C1077" s="4">
        <f>AVERAGE(C341:C352)</f>
        <v>31.449241666666666</v>
      </c>
      <c r="D1077" s="4">
        <f>AVERAGE(D341:D352)</f>
        <v>40.212325</v>
      </c>
      <c r="E1077" s="4">
        <f>AVERAGE(E341:E352)</f>
        <v>196.62160381402865</v>
      </c>
    </row>
    <row r="1078" spans="1:5" ht="15">
      <c r="A1078" s="3">
        <f t="shared" si="0"/>
        <v>2043</v>
      </c>
      <c r="B1078" s="4">
        <f>AVERAGE(B353:B364)</f>
        <v>32.882925</v>
      </c>
      <c r="C1078" s="4">
        <f>AVERAGE(C353:C364)</f>
        <v>32.519641666666672</v>
      </c>
      <c r="D1078" s="4">
        <f>AVERAGE(D353:D364)</f>
        <v>41.163666666666664</v>
      </c>
      <c r="E1078" s="4">
        <f>AVERAGE(E353:E364)</f>
        <v>202.81518433417048</v>
      </c>
    </row>
    <row r="1079" spans="1:5" ht="15">
      <c r="A1079" s="3">
        <f t="shared" si="0"/>
        <v>2044</v>
      </c>
      <c r="B1079" s="4">
        <f>AVERAGE(B365:B376)</f>
        <v>33.990266666666678</v>
      </c>
      <c r="C1079" s="4">
        <f>AVERAGE(C365:C376)</f>
        <v>33.626966666666668</v>
      </c>
      <c r="D1079" s="4">
        <f>AVERAGE(D365:D376)</f>
        <v>42.13859166666667</v>
      </c>
      <c r="E1079" s="4">
        <f>AVERAGE(E365:E376)</f>
        <v>209.203862640697</v>
      </c>
    </row>
    <row r="1080" spans="1:5" ht="15">
      <c r="A1080" s="3">
        <f t="shared" si="0"/>
        <v>2045</v>
      </c>
      <c r="B1080" s="4">
        <f>AVERAGE(B377:B388)</f>
        <v>35.13579166666667</v>
      </c>
      <c r="C1080" s="4">
        <f>AVERAGE(C377:C388)</f>
        <v>34.772500000000001</v>
      </c>
      <c r="D1080" s="4">
        <f>AVERAGE(D377:D388)</f>
        <v>43.137691666666662</v>
      </c>
      <c r="E1080" s="4">
        <f>AVERAGE(E377:E388)</f>
        <v>215.79378431387889</v>
      </c>
    </row>
    <row r="1081" spans="1:5" ht="15">
      <c r="A1081" s="3">
        <f t="shared" si="0"/>
        <v>2046</v>
      </c>
      <c r="B1081" s="4">
        <f>AVERAGE(B389:B400)</f>
        <v>36.32083333333334</v>
      </c>
      <c r="C1081" s="4">
        <f>AVERAGE(C389:C400)</f>
        <v>35.957550000000005</v>
      </c>
      <c r="D1081" s="4">
        <f>AVERAGE(D389:D400)</f>
        <v>44.161591666666673</v>
      </c>
      <c r="E1081" s="4">
        <f>AVERAGE(E389:E400)</f>
        <v>222.59128851976615</v>
      </c>
    </row>
    <row r="1082" spans="1:5" ht="15">
      <c r="A1082" s="3">
        <f t="shared" si="0"/>
        <v>2047</v>
      </c>
      <c r="B1082" s="4">
        <f>AVERAGE(B401:B412)</f>
        <v>37.546766666666663</v>
      </c>
      <c r="C1082" s="4">
        <f>AVERAGE(C401:C412)</f>
        <v>37.183483333333335</v>
      </c>
      <c r="D1082" s="4">
        <f>AVERAGE(D401:D412)</f>
        <v>45.210883333333335</v>
      </c>
      <c r="E1082" s="4">
        <f>AVERAGE(E401:E412)</f>
        <v>229.60291410813852</v>
      </c>
    </row>
    <row r="1083" spans="1:5" ht="15">
      <c r="A1083" s="3">
        <f t="shared" si="0"/>
        <v>2048</v>
      </c>
      <c r="B1083" s="4">
        <f>AVERAGE(B413:B424)</f>
        <v>38.814983333333331</v>
      </c>
      <c r="C1083" s="4">
        <f>AVERAGE(C413:C424)</f>
        <v>38.45170000000001</v>
      </c>
      <c r="D1083" s="4">
        <f>AVERAGE(D413:D424)</f>
        <v>46.286166666666666</v>
      </c>
      <c r="E1083" s="4">
        <f>AVERAGE(E413:E424)</f>
        <v>236.83540590254506</v>
      </c>
    </row>
    <row r="1084" spans="1:5" ht="15">
      <c r="A1084" s="3">
        <f t="shared" si="0"/>
        <v>2049</v>
      </c>
      <c r="B1084" s="4">
        <f>AVERAGE(B425:B436)</f>
        <v>40.126958333333334</v>
      </c>
      <c r="C1084" s="4">
        <f>AVERAGE(C425:C436)</f>
        <v>39.7637</v>
      </c>
      <c r="D1084" s="4">
        <f>AVERAGE(D425:D436)</f>
        <v>47.388149999999996</v>
      </c>
      <c r="E1084" s="4">
        <f>AVERAGE(E425:E436)</f>
        <v>244.29572118847523</v>
      </c>
    </row>
    <row r="1085" spans="1:5" ht="15">
      <c r="A1085" s="3">
        <f t="shared" si="0"/>
        <v>2050</v>
      </c>
      <c r="B1085" s="4">
        <f>AVERAGE(B437:B448)</f>
        <v>41.484191666666668</v>
      </c>
      <c r="C1085" s="4">
        <f>AVERAGE(C437:C448)</f>
        <v>41.120925</v>
      </c>
      <c r="D1085" s="4">
        <f>AVERAGE(D437:D448)</f>
        <v>48.517449999999997</v>
      </c>
      <c r="E1085" s="4">
        <f>AVERAGE(E437:E448)</f>
        <v>251.9910364059125</v>
      </c>
    </row>
    <row r="1086" spans="1:5" ht="15">
      <c r="A1086" s="3">
        <f t="shared" si="0"/>
        <v>2051</v>
      </c>
      <c r="B1086" s="4">
        <f>AVERAGE(B449:B460)</f>
        <v>42.888283333333334</v>
      </c>
      <c r="C1086" s="4">
        <f>AVERAGE(C449:C460)</f>
        <v>42.524991666666672</v>
      </c>
      <c r="D1086" s="4">
        <f>AVERAGE(D449:D460)</f>
        <v>49.674749999999996</v>
      </c>
      <c r="E1086" s="4">
        <f>AVERAGE(E449:E460)</f>
        <v>259.92875405269859</v>
      </c>
    </row>
    <row r="1087" spans="1:5" ht="15">
      <c r="A1087" s="3">
        <f t="shared" si="0"/>
        <v>2052</v>
      </c>
      <c r="B1087" s="4">
        <f>AVERAGE(B461:B472)</f>
        <v>44.340775000000001</v>
      </c>
      <c r="C1087" s="4">
        <f>AVERAGE(C461:C472)</f>
        <v>43.977499999999999</v>
      </c>
      <c r="D1087" s="4">
        <f>AVERAGE(D461:D472)</f>
        <v>50.860766666666656</v>
      </c>
      <c r="E1087" s="4">
        <f>AVERAGE(E461:E472)</f>
        <v>268.11650980535876</v>
      </c>
    </row>
    <row r="1088" spans="1:5" ht="15">
      <c r="A1088" s="3">
        <f t="shared" si="0"/>
        <v>2053</v>
      </c>
      <c r="B1088" s="4">
        <f>AVERAGE(B473:B484)</f>
        <v>45.843408333333336</v>
      </c>
      <c r="C1088" s="4">
        <f>AVERAGE(C473:C484)</f>
        <v>45.480116666666675</v>
      </c>
      <c r="D1088" s="4">
        <f>AVERAGE(D473:D484)</f>
        <v>52.076183333333326</v>
      </c>
      <c r="E1088" s="4">
        <f>AVERAGE(E473:E484)</f>
        <v>276.56217986422752</v>
      </c>
    </row>
    <row r="1089" spans="1:5" ht="15">
      <c r="A1089" s="3">
        <f t="shared" si="0"/>
        <v>2054</v>
      </c>
      <c r="B1089" s="4">
        <f>AVERAGE(B485:B496)</f>
        <v>47.39786666666668</v>
      </c>
      <c r="C1089" s="4">
        <f>AVERAGE(C485:C496)</f>
        <v>47.034574999999997</v>
      </c>
      <c r="D1089" s="4">
        <f>AVERAGE(D485:D496)</f>
        <v>53.321750000000009</v>
      </c>
      <c r="E1089" s="4">
        <f>AVERAGE(E485:E496)</f>
        <v>285.27388852995057</v>
      </c>
    </row>
    <row r="1090" spans="1:5" ht="15">
      <c r="A1090" s="3">
        <f t="shared" si="0"/>
        <v>2055</v>
      </c>
      <c r="B1090" s="4">
        <f>AVERAGE(B497:B508)</f>
        <v>49.005958333333332</v>
      </c>
      <c r="C1090" s="4">
        <f>AVERAGE(C497:C508)</f>
        <v>48.642691666666671</v>
      </c>
      <c r="D1090" s="4">
        <f>AVERAGE(D497:D508)</f>
        <v>54.598216666666673</v>
      </c>
      <c r="E1090" s="4">
        <f>AVERAGE(E497:E508)</f>
        <v>294.26001601864408</v>
      </c>
    </row>
    <row r="1091" spans="1:5" ht="15">
      <c r="A1091" s="3">
        <f t="shared" si="0"/>
        <v>2056</v>
      </c>
      <c r="B1091" s="4">
        <f>AVERAGE(B509:B520)</f>
        <v>50.669516666666659</v>
      </c>
      <c r="C1091" s="4">
        <f>AVERAGE(C509:C520)</f>
        <v>50.306249999999999</v>
      </c>
      <c r="D1091" s="4">
        <f>AVERAGE(D509:D520)</f>
        <v>55.906324999999988</v>
      </c>
      <c r="E1091" s="4">
        <f>AVERAGE(E509:E520)</f>
        <v>303.52920652323138</v>
      </c>
    </row>
    <row r="1092" spans="1:5" ht="15">
      <c r="A1092" s="3">
        <f t="shared" si="0"/>
        <v>2057</v>
      </c>
      <c r="B1092" s="4">
        <f>AVERAGE(B521:B532)</f>
        <v>52.390508333333337</v>
      </c>
      <c r="C1092" s="4">
        <f>AVERAGE(C521:C532)</f>
        <v>52.027216666666675</v>
      </c>
      <c r="D1092" s="4">
        <f>AVERAGE(D521:D532)</f>
        <v>57.24689166666667</v>
      </c>
      <c r="E1092" s="4">
        <f>AVERAGE(E521:E532)</f>
        <v>313.09037652871331</v>
      </c>
    </row>
    <row r="1093" spans="1:5" ht="15">
      <c r="A1093" s="3">
        <f t="shared" si="0"/>
        <v>2058</v>
      </c>
      <c r="B1093" s="4">
        <f>AVERAGE(B533:B544)</f>
        <v>54.170825000000001</v>
      </c>
      <c r="C1093" s="4">
        <f>AVERAGE(C533:C544)</f>
        <v>53.807541666666673</v>
      </c>
      <c r="D1093" s="4">
        <f>AVERAGE(D533:D544)</f>
        <v>58.620658333333346</v>
      </c>
      <c r="E1093" s="4">
        <f>AVERAGE(E533:E544)</f>
        <v>322.95272338936792</v>
      </c>
    </row>
    <row r="1094" spans="1:5" ht="15">
      <c r="A1094" s="3">
        <f t="shared" si="0"/>
        <v>2059</v>
      </c>
      <c r="B1094" s="4">
        <f>AVERAGE(B545:B556)</f>
        <v>56.012583333333339</v>
      </c>
      <c r="C1094" s="4">
        <f>AVERAGE(C545:C556)</f>
        <v>55.64930833333333</v>
      </c>
      <c r="D1094" s="4">
        <f>AVERAGE(D545:D556)</f>
        <v>60.028541666666676</v>
      </c>
      <c r="E1094" s="4">
        <f>AVERAGE(E545:E556)</f>
        <v>333.12573417613288</v>
      </c>
    </row>
    <row r="1095" spans="1:5" ht="15">
      <c r="A1095" s="3">
        <f t="shared" si="0"/>
        <v>2060</v>
      </c>
      <c r="B1095" s="4">
        <f>AVERAGE(B557:B568)</f>
        <v>57.917883333333343</v>
      </c>
      <c r="C1095" s="4">
        <f>AVERAGE(C557:C568)</f>
        <v>57.55459166666666</v>
      </c>
      <c r="D1095" s="4">
        <f>AVERAGE(D557:D568)</f>
        <v>61.471341666666667</v>
      </c>
      <c r="E1095" s="4">
        <f>AVERAGE(E557:E568)</f>
        <v>343.61919480268108</v>
      </c>
    </row>
    <row r="1096" spans="1:5" ht="15">
      <c r="A1096" s="3">
        <f t="shared" si="0"/>
        <v>2061</v>
      </c>
      <c r="B1096" s="4">
        <f>AVERAGE(B569:B580)</f>
        <v>59.888925</v>
      </c>
      <c r="C1096" s="4">
        <f>AVERAGE(C569:C580)</f>
        <v>59.525641666666672</v>
      </c>
      <c r="D1096" s="4">
        <f>AVERAGE(D569:D580)</f>
        <v>62.949900000000007</v>
      </c>
      <c r="E1096" s="4">
        <f>AVERAGE(E569:E580)</f>
        <v>354.44319943896562</v>
      </c>
    </row>
    <row r="1097" spans="1:5" ht="15">
      <c r="A1097" s="3">
        <f t="shared" si="0"/>
        <v>2062</v>
      </c>
      <c r="B1097" s="4">
        <f t="shared" ref="B1097:E1116" ca="1" si="1">AVERAGE(OFFSET(B$581,($A1097-$A$1097)*12,0,12,1))</f>
        <v>61.927941666666669</v>
      </c>
      <c r="C1097" s="4">
        <f t="shared" ca="1" si="1"/>
        <v>61.564666666666653</v>
      </c>
      <c r="D1097" s="4">
        <f t="shared" ca="1" si="1"/>
        <v>64.465133333333355</v>
      </c>
      <c r="E1097" s="4">
        <f t="shared" ca="1" si="1"/>
        <v>365.60816022129302</v>
      </c>
    </row>
    <row r="1098" spans="1:5" ht="15">
      <c r="A1098" s="3">
        <f t="shared" si="0"/>
        <v>2063</v>
      </c>
      <c r="B1098" s="4">
        <f t="shared" ca="1" si="1"/>
        <v>64.037324999999996</v>
      </c>
      <c r="C1098" s="4">
        <f t="shared" ca="1" si="1"/>
        <v>63.67404166666666</v>
      </c>
      <c r="D1098" s="4">
        <f t="shared" ca="1" si="1"/>
        <v>66.017933333333346</v>
      </c>
      <c r="E1098" s="4">
        <f t="shared" ca="1" si="1"/>
        <v>377.12481726826354</v>
      </c>
    </row>
    <row r="1099" spans="1:5" ht="15">
      <c r="A1099" s="3">
        <f t="shared" si="0"/>
        <v>2064</v>
      </c>
      <c r="B1099" s="4">
        <f t="shared" ca="1" si="1"/>
        <v>66.21949166666667</v>
      </c>
      <c r="C1099" s="4">
        <f t="shared" ca="1" si="1"/>
        <v>65.85619166666666</v>
      </c>
      <c r="D1099" s="4">
        <f t="shared" ca="1" si="1"/>
        <v>67.609249999999989</v>
      </c>
      <c r="E1099" s="4">
        <f t="shared" ca="1" si="1"/>
        <v>389.00424901221413</v>
      </c>
    </row>
    <row r="1100" spans="1:5" ht="15">
      <c r="A1100" s="3">
        <f t="shared" si="0"/>
        <v>2065</v>
      </c>
      <c r="B1100" s="4">
        <f t="shared" ca="1" si="1"/>
        <v>68.476908333333327</v>
      </c>
      <c r="C1100" s="4">
        <f t="shared" ca="1" si="1"/>
        <v>68.113608333333346</v>
      </c>
      <c r="D1100" s="4">
        <f t="shared" ca="1" si="1"/>
        <v>69.240049999999997</v>
      </c>
      <c r="E1100" s="4">
        <f t="shared" ca="1" si="1"/>
        <v>401.25788285609889</v>
      </c>
    </row>
    <row r="1101" spans="1:5" ht="15">
      <c r="A1101" s="3">
        <f t="shared" si="0"/>
        <v>2066</v>
      </c>
      <c r="B1101" s="4">
        <f t="shared" ca="1" si="1"/>
        <v>70.812216666666657</v>
      </c>
      <c r="C1101" s="4">
        <f t="shared" ca="1" si="1"/>
        <v>70.448941666666656</v>
      </c>
      <c r="D1101" s="4">
        <f t="shared" ca="1" si="1"/>
        <v>70.911275000000003</v>
      </c>
      <c r="E1101" s="4">
        <f t="shared" ca="1" si="1"/>
        <v>413.89750616606585</v>
      </c>
    </row>
    <row r="1102" spans="1:5" ht="15">
      <c r="A1102" s="3">
        <f t="shared" si="0"/>
        <v>2067</v>
      </c>
      <c r="B1102" s="4">
        <f t="shared" ca="1" si="1"/>
        <v>73.228099999999998</v>
      </c>
      <c r="C1102" s="4">
        <f t="shared" ca="1" si="1"/>
        <v>72.86481666666667</v>
      </c>
      <c r="D1102" s="4">
        <f t="shared" ca="1" si="1"/>
        <v>72.623941666666667</v>
      </c>
      <c r="E1102" s="4">
        <f t="shared" ca="1" si="1"/>
        <v>426.93527761029713</v>
      </c>
    </row>
    <row r="1103" spans="1:5" ht="15">
      <c r="A1103" s="3">
        <f t="shared" si="0"/>
        <v>2068</v>
      </c>
      <c r="B1103" s="4">
        <f t="shared" ca="1" si="1"/>
        <v>75.727341666666675</v>
      </c>
      <c r="C1103" s="4">
        <f t="shared" ca="1" si="1"/>
        <v>75.364058333333332</v>
      </c>
      <c r="D1103" s="4">
        <f t="shared" ca="1" si="1"/>
        <v>74.379099999999994</v>
      </c>
      <c r="E1103" s="4">
        <f t="shared" ca="1" si="1"/>
        <v>440.38373885502142</v>
      </c>
    </row>
    <row r="1104" spans="1:5" ht="15">
      <c r="A1104" s="3">
        <f t="shared" si="0"/>
        <v>2069</v>
      </c>
      <c r="B1104" s="4">
        <f t="shared" ca="1" si="1"/>
        <v>78.312808333333336</v>
      </c>
      <c r="C1104" s="4">
        <f t="shared" ca="1" si="1"/>
        <v>77.949516666666668</v>
      </c>
      <c r="D1104" s="4">
        <f t="shared" ca="1" si="1"/>
        <v>76.177783333333323</v>
      </c>
      <c r="E1104" s="4">
        <f t="shared" ca="1" si="1"/>
        <v>454.25582662895459</v>
      </c>
    </row>
    <row r="1105" spans="1:5" ht="15">
      <c r="A1105" s="3">
        <f t="shared" ref="A1105:A1135" si="2">A1104+1</f>
        <v>2070</v>
      </c>
      <c r="B1105" s="4">
        <f t="shared" ca="1" si="1"/>
        <v>80.987449999999981</v>
      </c>
      <c r="C1105" s="4">
        <f t="shared" ca="1" si="1"/>
        <v>80.62415</v>
      </c>
      <c r="D1105" s="4">
        <f t="shared" ca="1" si="1"/>
        <v>78.021058333333329</v>
      </c>
      <c r="E1105" s="4">
        <f t="shared" ca="1" si="1"/>
        <v>468.56488516776682</v>
      </c>
    </row>
    <row r="1106" spans="1:5" ht="15">
      <c r="A1106" s="3">
        <f t="shared" si="2"/>
        <v>2071</v>
      </c>
      <c r="B1106" s="4">
        <f t="shared" ca="1" si="1"/>
        <v>83.754374999999996</v>
      </c>
      <c r="C1106" s="4">
        <f t="shared" ca="1" si="1"/>
        <v>83.391108333333335</v>
      </c>
      <c r="D1106" s="4">
        <f t="shared" ca="1" si="1"/>
        <v>79.910058333333339</v>
      </c>
      <c r="E1106" s="4">
        <f t="shared" ca="1" si="1"/>
        <v>483.32467905055165</v>
      </c>
    </row>
    <row r="1107" spans="1:5" ht="15">
      <c r="A1107" s="3">
        <f t="shared" si="2"/>
        <v>2072</v>
      </c>
      <c r="B1107" s="4">
        <f t="shared" ca="1" si="1"/>
        <v>86.616766666666649</v>
      </c>
      <c r="C1107" s="4">
        <f t="shared" ca="1" si="1"/>
        <v>86.253483333333335</v>
      </c>
      <c r="D1107" s="4">
        <f t="shared" ca="1" si="1"/>
        <v>81.8459</v>
      </c>
      <c r="E1107" s="4">
        <f t="shared" ca="1" si="1"/>
        <v>498.54940644064408</v>
      </c>
    </row>
    <row r="1108" spans="1:5" ht="15">
      <c r="A1108" s="3">
        <f t="shared" si="2"/>
        <v>2073</v>
      </c>
      <c r="B1108" s="4">
        <f t="shared" ca="1" si="1"/>
        <v>89.577916666666667</v>
      </c>
      <c r="C1108" s="4">
        <f t="shared" ca="1" si="1"/>
        <v>89.214633333333339</v>
      </c>
      <c r="D1108" s="4">
        <f t="shared" ca="1" si="1"/>
        <v>83.829758333333345</v>
      </c>
      <c r="E1108" s="4">
        <f t="shared" ca="1" si="1"/>
        <v>514.25371274352426</v>
      </c>
    </row>
    <row r="1109" spans="1:5" ht="15">
      <c r="A1109" s="3">
        <f t="shared" si="2"/>
        <v>2074</v>
      </c>
      <c r="B1109" s="4">
        <f t="shared" ca="1" si="1"/>
        <v>92.641208333333324</v>
      </c>
      <c r="C1109" s="4">
        <f t="shared" ca="1" si="1"/>
        <v>92.277933333333337</v>
      </c>
      <c r="D1109" s="4">
        <f t="shared" ca="1" si="1"/>
        <v>85.862816666666674</v>
      </c>
      <c r="E1109" s="4">
        <f t="shared" ca="1" si="1"/>
        <v>530.45270469494528</v>
      </c>
    </row>
    <row r="1110" spans="1:5" ht="15">
      <c r="A1110" s="3">
        <f t="shared" si="2"/>
        <v>2075</v>
      </c>
      <c r="B1110" s="4">
        <f t="shared" ca="1" si="1"/>
        <v>95.810216666666676</v>
      </c>
      <c r="C1110" s="4">
        <f t="shared" ca="1" si="1"/>
        <v>95.446924999999979</v>
      </c>
      <c r="D1110" s="4">
        <f t="shared" ca="1" si="1"/>
        <v>87.946291666666681</v>
      </c>
      <c r="E1110" s="4">
        <f t="shared" ca="1" si="1"/>
        <v>547.16196489283595</v>
      </c>
    </row>
    <row r="1111" spans="1:5" ht="15">
      <c r="A1111" s="3">
        <f t="shared" si="2"/>
        <v>2076</v>
      </c>
      <c r="B1111" s="4">
        <f t="shared" ca="1" si="1"/>
        <v>99.08850000000001</v>
      </c>
      <c r="C1111" s="4">
        <f t="shared" ca="1" si="1"/>
        <v>98.725233333333335</v>
      </c>
      <c r="D1111" s="4">
        <f t="shared" ca="1" si="1"/>
        <v>90.08142500000001</v>
      </c>
      <c r="E1111" s="4">
        <f t="shared" ca="1" si="1"/>
        <v>564.39756678696028</v>
      </c>
    </row>
    <row r="1112" spans="1:5" ht="15">
      <c r="A1112" s="3">
        <f t="shared" si="2"/>
        <v>2077</v>
      </c>
      <c r="B1112" s="4">
        <f t="shared" ca="1" si="1"/>
        <v>102.47994166666666</v>
      </c>
      <c r="C1112" s="4">
        <f t="shared" ca="1" si="1"/>
        <v>102.11664999999999</v>
      </c>
      <c r="D1112" s="4">
        <f t="shared" ca="1" si="1"/>
        <v>92.269524999999987</v>
      </c>
      <c r="E1112" s="4">
        <f t="shared" ca="1" si="1"/>
        <v>582.17609014074981</v>
      </c>
    </row>
    <row r="1113" spans="1:5" ht="15">
      <c r="A1113" s="3">
        <f t="shared" si="2"/>
        <v>2078</v>
      </c>
      <c r="B1113" s="4">
        <f t="shared" ca="1" si="1"/>
        <v>105.98835000000001</v>
      </c>
      <c r="C1113" s="4">
        <f t="shared" ca="1" si="1"/>
        <v>105.62506666666667</v>
      </c>
      <c r="D1113" s="4">
        <f t="shared" ca="1" si="1"/>
        <v>94.51188333333333</v>
      </c>
      <c r="E1113" s="4">
        <f t="shared" ca="1" si="1"/>
        <v>600.51463698018335</v>
      </c>
    </row>
    <row r="1114" spans="1:5" ht="15">
      <c r="A1114" s="3">
        <f t="shared" si="2"/>
        <v>2079</v>
      </c>
      <c r="B1114" s="4">
        <f t="shared" ca="1" si="1"/>
        <v>109.61779999999999</v>
      </c>
      <c r="C1114" s="4">
        <f t="shared" ca="1" si="1"/>
        <v>109.254525</v>
      </c>
      <c r="D1114" s="4">
        <f t="shared" ca="1" si="1"/>
        <v>96.809858333333352</v>
      </c>
      <c r="E1114" s="4">
        <f t="shared" ca="1" si="1"/>
        <v>619.43084804505918</v>
      </c>
    </row>
    <row r="1115" spans="1:5" ht="15">
      <c r="A1115" s="3">
        <f t="shared" si="2"/>
        <v>2080</v>
      </c>
      <c r="B1115" s="4">
        <f t="shared" ca="1" si="1"/>
        <v>113.37249166666669</v>
      </c>
      <c r="C1115" s="4">
        <f t="shared" ca="1" si="1"/>
        <v>113.00920833333333</v>
      </c>
      <c r="D1115" s="4">
        <f t="shared" ca="1" si="1"/>
        <v>99.164808333333326</v>
      </c>
      <c r="E1115" s="4">
        <f t="shared" ca="1" si="1"/>
        <v>638.94291975847875</v>
      </c>
    </row>
    <row r="1116" spans="1:5" ht="15">
      <c r="A1116" s="3">
        <f t="shared" si="2"/>
        <v>2081</v>
      </c>
      <c r="B1116" s="4">
        <f t="shared" ca="1" si="1"/>
        <v>117.25669999999998</v>
      </c>
      <c r="C1116" s="4">
        <f t="shared" ca="1" si="1"/>
        <v>116.89341666666665</v>
      </c>
      <c r="D1116" s="4">
        <f t="shared" ca="1" si="1"/>
        <v>101.57817499999999</v>
      </c>
      <c r="E1116" s="4">
        <f t="shared" ca="1" si="1"/>
        <v>659.06962173087072</v>
      </c>
    </row>
    <row r="1117" spans="1:5" ht="15">
      <c r="A1117" s="3">
        <f t="shared" si="2"/>
        <v>2082</v>
      </c>
      <c r="B1117" s="4">
        <f t="shared" ref="B1117:E1135" ca="1" si="3">AVERAGE(OFFSET(B$581,($A1117-$A$1097)*12,0,12,1))</f>
        <v>121.27493333333332</v>
      </c>
      <c r="C1117" s="4">
        <f t="shared" ca="1" si="3"/>
        <v>120.91164999999999</v>
      </c>
      <c r="D1117" s="4">
        <f t="shared" ca="1" si="3"/>
        <v>104.05138333333336</v>
      </c>
      <c r="E1117" s="4">
        <f t="shared" ca="1" si="3"/>
        <v>679.83031481539354</v>
      </c>
    </row>
    <row r="1118" spans="1:5" ht="15">
      <c r="A1118" s="3">
        <f t="shared" si="2"/>
        <v>2083</v>
      </c>
      <c r="B1118" s="4">
        <f t="shared" ca="1" si="3"/>
        <v>125.43178333333331</v>
      </c>
      <c r="C1118" s="4">
        <f t="shared" ca="1" si="3"/>
        <v>125.06849999999999</v>
      </c>
      <c r="D1118" s="4">
        <f t="shared" ca="1" si="3"/>
        <v>106.58594166666666</v>
      </c>
      <c r="E1118" s="4">
        <f t="shared" ca="1" si="3"/>
        <v>701.24496973207818</v>
      </c>
    </row>
    <row r="1119" spans="1:5" ht="15">
      <c r="A1119" s="3">
        <f t="shared" si="2"/>
        <v>2084</v>
      </c>
      <c r="B1119" s="4">
        <f t="shared" ca="1" si="3"/>
        <v>129.73202500000002</v>
      </c>
      <c r="C1119" s="4">
        <f t="shared" ca="1" si="3"/>
        <v>129.36874166666666</v>
      </c>
      <c r="D1119" s="4">
        <f t="shared" ca="1" si="3"/>
        <v>109.18336666666664</v>
      </c>
      <c r="E1119" s="4">
        <f t="shared" ca="1" si="3"/>
        <v>723.33418627863875</v>
      </c>
    </row>
    <row r="1120" spans="1:5" ht="15">
      <c r="A1120" s="3">
        <f t="shared" si="2"/>
        <v>2085</v>
      </c>
      <c r="B1120" s="4">
        <f t="shared" ca="1" si="3"/>
        <v>134.18065000000001</v>
      </c>
      <c r="C1120" s="4">
        <f t="shared" ca="1" si="3"/>
        <v>133.81737500000003</v>
      </c>
      <c r="D1120" s="4">
        <f t="shared" ca="1" si="3"/>
        <v>111.84518333333335</v>
      </c>
      <c r="E1120" s="4">
        <f t="shared" ca="1" si="3"/>
        <v>746.1192131464162</v>
      </c>
    </row>
    <row r="1121" spans="1:5" ht="15">
      <c r="A1121" s="3">
        <f t="shared" si="2"/>
        <v>2086</v>
      </c>
      <c r="B1121" s="4">
        <f t="shared" ca="1" si="3"/>
        <v>138.78275833333333</v>
      </c>
      <c r="C1121" s="4">
        <f t="shared" ca="1" si="3"/>
        <v>138.41946666666669</v>
      </c>
      <c r="D1121" s="4">
        <f t="shared" ca="1" si="3"/>
        <v>114.57300833333331</v>
      </c>
      <c r="E1121" s="4">
        <f t="shared" ca="1" si="3"/>
        <v>769.62196836052817</v>
      </c>
    </row>
    <row r="1122" spans="1:5" ht="15">
      <c r="A1122" s="3">
        <f t="shared" si="2"/>
        <v>2087</v>
      </c>
      <c r="B1122" s="4">
        <f t="shared" ca="1" si="3"/>
        <v>143.54361666666668</v>
      </c>
      <c r="C1122" s="4">
        <f t="shared" ca="1" si="3"/>
        <v>143.18032500000001</v>
      </c>
      <c r="D1122" s="4">
        <f t="shared" ca="1" si="3"/>
        <v>117.36850833333334</v>
      </c>
      <c r="E1122" s="4">
        <f t="shared" ca="1" si="3"/>
        <v>793.86506036388471</v>
      </c>
    </row>
    <row r="1123" spans="1:5" ht="15">
      <c r="A1123" s="3">
        <f t="shared" si="2"/>
        <v>2088</v>
      </c>
      <c r="B1123" s="4">
        <f t="shared" ca="1" si="3"/>
        <v>148.46871666666667</v>
      </c>
      <c r="C1123" s="4">
        <f t="shared" ca="1" si="3"/>
        <v>148.10544999999999</v>
      </c>
      <c r="D1123" s="4">
        <f t="shared" ca="1" si="3"/>
        <v>120.23330833333335</v>
      </c>
      <c r="E1123" s="4">
        <f t="shared" ca="1" si="3"/>
        <v>818.87180976534739</v>
      </c>
    </row>
    <row r="1124" spans="1:5" ht="15">
      <c r="A1124" s="3">
        <f t="shared" si="2"/>
        <v>2089</v>
      </c>
      <c r="B1124" s="4">
        <f t="shared" ca="1" si="3"/>
        <v>153.56378333333336</v>
      </c>
      <c r="C1124" s="4">
        <f t="shared" ca="1" si="3"/>
        <v>153.20048333333338</v>
      </c>
      <c r="D1124" s="4">
        <f t="shared" ca="1" si="3"/>
        <v>123.16915833333336</v>
      </c>
      <c r="E1124" s="4">
        <f t="shared" ca="1" si="3"/>
        <v>844.66627177295595</v>
      </c>
    </row>
    <row r="1125" spans="1:5" ht="15">
      <c r="A1125" s="3">
        <f t="shared" si="2"/>
        <v>2090</v>
      </c>
      <c r="B1125" s="4">
        <f t="shared" ca="1" si="3"/>
        <v>158.83458333333331</v>
      </c>
      <c r="C1125" s="4">
        <f t="shared" ca="1" si="3"/>
        <v>158.47130000000001</v>
      </c>
      <c r="D1125" s="4">
        <f t="shared" ca="1" si="3"/>
        <v>126.177825</v>
      </c>
      <c r="E1125" s="4">
        <f t="shared" ca="1" si="3"/>
        <v>871.27325933380382</v>
      </c>
    </row>
    <row r="1126" spans="1:5" ht="15">
      <c r="A1126" s="3">
        <f t="shared" si="2"/>
        <v>2091</v>
      </c>
      <c r="B1126" s="4">
        <f t="shared" ca="1" si="3"/>
        <v>164.28724166666666</v>
      </c>
      <c r="C1126" s="4">
        <f t="shared" ca="1" si="3"/>
        <v>163.92395000000002</v>
      </c>
      <c r="D1126" s="4">
        <f t="shared" ca="1" si="3"/>
        <v>129.26112499999996</v>
      </c>
      <c r="E1126" s="4">
        <f t="shared" ca="1" si="3"/>
        <v>898.71836700281892</v>
      </c>
    </row>
    <row r="1127" spans="1:5" ht="15">
      <c r="A1127" s="3">
        <f t="shared" si="2"/>
        <v>2092</v>
      </c>
      <c r="B1127" s="4">
        <f t="shared" ca="1" si="3"/>
        <v>169.92800833333334</v>
      </c>
      <c r="C1127" s="4">
        <f t="shared" ca="1" si="3"/>
        <v>169.56472500000004</v>
      </c>
      <c r="D1127" s="4">
        <f t="shared" ca="1" si="3"/>
        <v>132.42089999999999</v>
      </c>
      <c r="E1127" s="4">
        <f t="shared" ca="1" si="3"/>
        <v>927.02799556340744</v>
      </c>
    </row>
    <row r="1128" spans="1:5" ht="15">
      <c r="A1128" s="3">
        <f t="shared" si="2"/>
        <v>2093</v>
      </c>
      <c r="B1128" s="4">
        <f t="shared" ca="1" si="3"/>
        <v>175.76338333333334</v>
      </c>
      <c r="C1128" s="4">
        <f t="shared" ca="1" si="3"/>
        <v>175.40009999999998</v>
      </c>
      <c r="D1128" s="4">
        <f t="shared" ca="1" si="3"/>
        <v>135.65899999999999</v>
      </c>
      <c r="E1128" s="4">
        <f t="shared" ca="1" si="3"/>
        <v>956.22937742365559</v>
      </c>
    </row>
    <row r="1129" spans="1:5" ht="15">
      <c r="A1129" s="3">
        <f t="shared" si="2"/>
        <v>2094</v>
      </c>
      <c r="B1129" s="4">
        <f t="shared" ca="1" si="3"/>
        <v>181.80010833333336</v>
      </c>
      <c r="C1129" s="4">
        <f t="shared" ca="1" si="3"/>
        <v>181.43680833333335</v>
      </c>
      <c r="D1129" s="4">
        <f t="shared" ca="1" si="3"/>
        <v>138.97740000000002</v>
      </c>
      <c r="E1129" s="4">
        <f t="shared" ca="1" si="3"/>
        <v>986.35060281250071</v>
      </c>
    </row>
    <row r="1130" spans="1:5" ht="15">
      <c r="A1130" s="3">
        <f t="shared" si="2"/>
        <v>2095</v>
      </c>
      <c r="B1130" s="4">
        <f t="shared" ca="1" si="3"/>
        <v>188.04505833333329</v>
      </c>
      <c r="C1130" s="4">
        <f t="shared" ca="1" si="3"/>
        <v>187.68176666666668</v>
      </c>
      <c r="D1130" s="4">
        <f t="shared" ca="1" si="3"/>
        <v>142.37813333333332</v>
      </c>
      <c r="E1130" s="4">
        <f t="shared" ca="1" si="3"/>
        <v>1017.4206468010942</v>
      </c>
    </row>
    <row r="1131" spans="1:5" ht="15">
      <c r="A1131" s="3">
        <f t="shared" si="2"/>
        <v>2096</v>
      </c>
      <c r="B1131" s="4">
        <f t="shared" ca="1" si="3"/>
        <v>194.50546666666665</v>
      </c>
      <c r="C1131" s="4">
        <f t="shared" ca="1" si="3"/>
        <v>194.14217499999998</v>
      </c>
      <c r="D1131" s="4">
        <f t="shared" ca="1" si="3"/>
        <v>145.86318333333332</v>
      </c>
      <c r="E1131" s="4">
        <f t="shared" ca="1" si="3"/>
        <v>1049.4693971753297</v>
      </c>
    </row>
    <row r="1132" spans="1:5" ht="15">
      <c r="A1132" s="3">
        <f t="shared" si="2"/>
        <v>2097</v>
      </c>
      <c r="B1132" s="4">
        <f t="shared" ca="1" si="3"/>
        <v>201.18878333333336</v>
      </c>
      <c r="C1132" s="4">
        <f t="shared" ca="1" si="3"/>
        <v>200.82549166666669</v>
      </c>
      <c r="D1132" s="4">
        <f t="shared" ca="1" si="3"/>
        <v>149.434675</v>
      </c>
      <c r="E1132" s="4">
        <f t="shared" ca="1" si="3"/>
        <v>1082.5276831863537</v>
      </c>
    </row>
    <row r="1133" spans="1:5" ht="15">
      <c r="A1133" s="3">
        <f t="shared" si="2"/>
        <v>2098</v>
      </c>
      <c r="B1133" s="4">
        <f t="shared" ca="1" si="3"/>
        <v>208.10265833333335</v>
      </c>
      <c r="C1133" s="4">
        <f t="shared" ca="1" si="3"/>
        <v>207.73936666666665</v>
      </c>
      <c r="D1133" s="4">
        <f t="shared" ca="1" si="3"/>
        <v>153.09472500000001</v>
      </c>
      <c r="E1133" s="4">
        <f t="shared" ca="1" si="3"/>
        <v>1116.6273052067206</v>
      </c>
    </row>
    <row r="1134" spans="1:5" ht="15">
      <c r="A1134" s="3">
        <f t="shared" si="2"/>
        <v>2099</v>
      </c>
      <c r="B1134" s="4">
        <f t="shared" ca="1" si="3"/>
        <v>215.2550583333333</v>
      </c>
      <c r="C1134" s="4">
        <f t="shared" ca="1" si="3"/>
        <v>214.89175833333331</v>
      </c>
      <c r="D1134" s="4">
        <f t="shared" ca="1" si="3"/>
        <v>156.84554166666669</v>
      </c>
      <c r="E1134" s="4">
        <f t="shared" ca="1" si="3"/>
        <v>1151.8010653207336</v>
      </c>
    </row>
    <row r="1135" spans="1:5" ht="15">
      <c r="A1135" s="3">
        <f t="shared" si="2"/>
        <v>2100</v>
      </c>
      <c r="B1135" s="4">
        <f t="shared" ca="1" si="3"/>
        <v>222.65421666666671</v>
      </c>
      <c r="C1135" s="4">
        <f t="shared" ca="1" si="3"/>
        <v>222.29092500000002</v>
      </c>
      <c r="D1135" s="4">
        <f t="shared" ca="1" si="3"/>
        <v>160.68940000000001</v>
      </c>
      <c r="E1135" s="4">
        <f t="shared" ca="1" si="3"/>
        <v>1188.0827988783367</v>
      </c>
    </row>
    <row r="1136" spans="1:5">
      <c r="A1136" s="32"/>
    </row>
    <row r="1137" spans="1:1">
      <c r="A1137" s="32"/>
    </row>
    <row r="1138" spans="1:1">
      <c r="A1138" s="32"/>
    </row>
    <row r="1139" spans="1:1">
      <c r="A1139" s="32"/>
    </row>
    <row r="1140" spans="1:1">
      <c r="A1140" s="32"/>
    </row>
    <row r="1141" spans="1:1">
      <c r="A1141" s="32"/>
    </row>
    <row r="1142" spans="1:1">
      <c r="A1142" s="32"/>
    </row>
    <row r="1143" spans="1:1">
      <c r="A1143" s="32"/>
    </row>
    <row r="1144" spans="1:1">
      <c r="A1144" s="32"/>
    </row>
    <row r="1145" spans="1:1">
      <c r="A1145" s="32"/>
    </row>
    <row r="1146" spans="1:1">
      <c r="A1146" s="32"/>
    </row>
    <row r="1147" spans="1:1">
      <c r="A1147" s="32"/>
    </row>
    <row r="1148" spans="1:1">
      <c r="A1148" s="32"/>
    </row>
    <row r="1149" spans="1:1">
      <c r="A1149" s="32"/>
    </row>
    <row r="1150" spans="1:1">
      <c r="A1150" s="32"/>
    </row>
    <row r="1151" spans="1:1">
      <c r="A1151" s="32"/>
    </row>
    <row r="1152" spans="1:1">
      <c r="A1152" s="32"/>
    </row>
    <row r="1153" spans="1:1">
      <c r="A1153" s="32"/>
    </row>
    <row r="1154" spans="1:1">
      <c r="A1154" s="32"/>
    </row>
    <row r="1155" spans="1:1">
      <c r="A1155" s="32"/>
    </row>
  </sheetData>
  <mergeCells count="1">
    <mergeCell ref="B14:C14"/>
  </mergeCells>
  <pageMargins left="0.25" right="0.25" top="0.5" bottom="0.5" header="0.25" footer="0.25"/>
  <pageSetup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30"/>
  <sheetViews>
    <sheetView zoomScale="70" zoomScaleNormal="70" workbookViewId="0">
      <pane xSplit="1" ySplit="16" topLeftCell="B17" activePane="bottomRight" state="frozen"/>
      <selection activeCell="P33" sqref="P33"/>
      <selection pane="topRight" activeCell="P33" sqref="P33"/>
      <selection pane="bottomLeft" activeCell="P33" sqref="P33"/>
      <selection pane="bottomRight" activeCell="A39" sqref="A39"/>
    </sheetView>
  </sheetViews>
  <sheetFormatPr defaultColWidth="7.109375" defaultRowHeight="12.75"/>
  <cols>
    <col min="1" max="1" width="14.5546875" style="32" customWidth="1"/>
    <col min="2" max="2" width="19" style="32" customWidth="1"/>
    <col min="3" max="3" width="16.109375" style="32" customWidth="1"/>
    <col min="4" max="4" width="20.21875" style="32" customWidth="1"/>
    <col min="5" max="5" width="20.6640625" style="32" customWidth="1"/>
    <col min="6" max="6" width="16.109375" style="32" customWidth="1"/>
    <col min="7" max="9" width="20" style="32" customWidth="1"/>
    <col min="10" max="11" width="19.109375" style="32" customWidth="1"/>
    <col min="12" max="12" width="16.109375" style="32" customWidth="1"/>
    <col min="13" max="15" width="17.6640625" style="32" customWidth="1"/>
    <col min="16" max="16384" width="7.109375" style="32"/>
  </cols>
  <sheetData>
    <row r="1" spans="1:15" ht="15.75">
      <c r="A1" s="84" t="s">
        <v>64</v>
      </c>
    </row>
    <row r="2" spans="1:15" ht="15.75">
      <c r="A2" s="84" t="s">
        <v>65</v>
      </c>
    </row>
    <row r="3" spans="1:15" ht="15.75">
      <c r="A3" s="84" t="s">
        <v>66</v>
      </c>
    </row>
    <row r="4" spans="1:15" ht="15.75">
      <c r="A4" s="84" t="s">
        <v>67</v>
      </c>
    </row>
    <row r="5" spans="1:15" ht="15.75">
      <c r="A5" s="84" t="s">
        <v>69</v>
      </c>
    </row>
    <row r="6" spans="1:15" ht="15.75">
      <c r="A6" s="84" t="s">
        <v>71</v>
      </c>
    </row>
    <row r="9" spans="1:15" ht="15" customHeight="1">
      <c r="A9" s="74" t="s">
        <v>25</v>
      </c>
    </row>
    <row r="10" spans="1:15" ht="15" customHeight="1">
      <c r="A10" s="75"/>
    </row>
    <row r="11" spans="1:15" ht="15" customHeight="1">
      <c r="A11" s="75"/>
    </row>
    <row r="12" spans="1:15" ht="15" customHeight="1">
      <c r="B12" s="74"/>
      <c r="H12" s="71" t="s">
        <v>51</v>
      </c>
    </row>
    <row r="13" spans="1:15" ht="15" customHeight="1">
      <c r="A13" s="74"/>
      <c r="B13" s="73" t="s">
        <v>24</v>
      </c>
      <c r="C13" s="72">
        <f>1-0.141</f>
        <v>0.85899999999999999</v>
      </c>
      <c r="D13" s="73" t="s">
        <v>23</v>
      </c>
      <c r="E13" s="72">
        <f>1+0.141</f>
        <v>1.141</v>
      </c>
      <c r="H13" s="71"/>
      <c r="L13" s="89"/>
      <c r="M13" s="89"/>
      <c r="N13" s="89"/>
      <c r="O13" s="89"/>
    </row>
    <row r="14" spans="1:15" ht="15" customHeight="1">
      <c r="B14" s="88" t="s">
        <v>50</v>
      </c>
      <c r="C14" s="88"/>
      <c r="D14" s="88"/>
      <c r="E14" s="90" t="s">
        <v>49</v>
      </c>
      <c r="F14" s="90"/>
      <c r="G14" s="91"/>
      <c r="H14" s="92" t="s">
        <v>48</v>
      </c>
      <c r="I14" s="92"/>
      <c r="J14" s="91" t="s">
        <v>47</v>
      </c>
      <c r="K14" s="91"/>
      <c r="L14" s="89"/>
      <c r="M14" s="89"/>
      <c r="N14" s="89"/>
      <c r="O14" s="89"/>
    </row>
    <row r="15" spans="1:15" ht="63">
      <c r="B15" s="70" t="s">
        <v>46</v>
      </c>
      <c r="C15" s="69" t="s">
        <v>45</v>
      </c>
      <c r="D15" s="68" t="s">
        <v>44</v>
      </c>
      <c r="E15" s="70" t="s">
        <v>46</v>
      </c>
      <c r="F15" s="69" t="s">
        <v>45</v>
      </c>
      <c r="G15" s="68" t="s">
        <v>44</v>
      </c>
      <c r="H15" s="69" t="s">
        <v>45</v>
      </c>
      <c r="I15" s="68" t="s">
        <v>44</v>
      </c>
      <c r="J15" s="69" t="s">
        <v>45</v>
      </c>
      <c r="K15" s="68" t="s">
        <v>44</v>
      </c>
      <c r="L15" s="60"/>
      <c r="M15" s="67"/>
      <c r="N15" s="67"/>
      <c r="O15" s="67"/>
    </row>
    <row r="16" spans="1:15" ht="20.25">
      <c r="A16" s="24" t="s">
        <v>2</v>
      </c>
      <c r="B16" s="66" t="s">
        <v>1</v>
      </c>
      <c r="C16" s="66" t="s">
        <v>1</v>
      </c>
      <c r="D16" s="66" t="s">
        <v>1</v>
      </c>
      <c r="E16" s="66" t="s">
        <v>1</v>
      </c>
      <c r="F16" s="66" t="s">
        <v>1</v>
      </c>
      <c r="G16" s="66" t="s">
        <v>1</v>
      </c>
      <c r="H16" s="66" t="s">
        <v>1</v>
      </c>
      <c r="I16" s="66" t="s">
        <v>1</v>
      </c>
      <c r="J16" s="66" t="s">
        <v>1</v>
      </c>
      <c r="K16" s="66" t="s">
        <v>1</v>
      </c>
      <c r="L16" s="65"/>
      <c r="M16" s="65"/>
      <c r="N16" s="65"/>
      <c r="O16" s="65"/>
    </row>
    <row r="17" spans="1:14" ht="15">
      <c r="A17" s="13">
        <v>42156</v>
      </c>
      <c r="B17" s="63">
        <f>2.2099 * CHOOSE(CONTROL!$C$22, $C$13, 100%, $E$13)</f>
        <v>2.2099000000000002</v>
      </c>
      <c r="C17" s="63">
        <f>2.2099 * CHOOSE(CONTROL!$C$22, $C$13, 100%, $E$13)</f>
        <v>2.2099000000000002</v>
      </c>
      <c r="D17" s="63">
        <f>2.2498 * CHOOSE(CONTROL!$C$22, $C$13, 100%, $E$13)</f>
        <v>2.2498</v>
      </c>
      <c r="E17" s="64">
        <f>3.1268 * CHOOSE(CONTROL!$C$22, $C$13, 100%, $E$13)</f>
        <v>3.1267999999999998</v>
      </c>
      <c r="F17" s="64">
        <f>4.06 * CHOOSE(CONTROL!$C$22, $C$13, 100%, $E$13)</f>
        <v>4.0599999999999996</v>
      </c>
      <c r="G17" s="64">
        <f>4.0624 * CHOOSE(CONTROL!$C$22, $C$13, 100%, $E$13)</f>
        <v>4.0624000000000002</v>
      </c>
      <c r="H17" s="64">
        <f>5.6482* CHOOSE(CONTROL!$C$22, $C$13, 100%, $E$13)</f>
        <v>5.6482000000000001</v>
      </c>
      <c r="I17" s="64">
        <f>5.6506 * CHOOSE(CONTROL!$C$22, $C$13, 100%, $E$13)</f>
        <v>5.6505999999999998</v>
      </c>
      <c r="J17" s="64">
        <f>3.1268 * CHOOSE(CONTROL!$C$22, $C$13, 100%, $E$13)</f>
        <v>3.1267999999999998</v>
      </c>
      <c r="K17" s="64">
        <f>3.1293 * CHOOSE(CONTROL!$C$22, $C$13, 100%, $E$13)</f>
        <v>3.1293000000000002</v>
      </c>
      <c r="L17" s="4"/>
      <c r="M17" s="64"/>
      <c r="N17" s="64"/>
    </row>
    <row r="18" spans="1:14" ht="15">
      <c r="A18" s="13">
        <v>42186</v>
      </c>
      <c r="B18" s="63">
        <f>2.2225 * CHOOSE(CONTROL!$C$22, $C$13, 100%, $E$13)</f>
        <v>2.2225000000000001</v>
      </c>
      <c r="C18" s="63">
        <f>2.2225 * CHOOSE(CONTROL!$C$22, $C$13, 100%, $E$13)</f>
        <v>2.2225000000000001</v>
      </c>
      <c r="D18" s="63">
        <f>2.2625 * CHOOSE(CONTROL!$C$22, $C$13, 100%, $E$13)</f>
        <v>2.2625000000000002</v>
      </c>
      <c r="E18" s="64">
        <f>3.2309 * CHOOSE(CONTROL!$C$22, $C$13, 100%, $E$13)</f>
        <v>3.2309000000000001</v>
      </c>
      <c r="F18" s="64">
        <f>4.06 * CHOOSE(CONTROL!$C$22, $C$13, 100%, $E$13)</f>
        <v>4.0599999999999996</v>
      </c>
      <c r="G18" s="64">
        <f>4.0624 * CHOOSE(CONTROL!$C$22, $C$13, 100%, $E$13)</f>
        <v>4.0624000000000002</v>
      </c>
      <c r="H18" s="64">
        <f>5.6599* CHOOSE(CONTROL!$C$22, $C$13, 100%, $E$13)</f>
        <v>5.6599000000000004</v>
      </c>
      <c r="I18" s="64">
        <f>5.6624 * CHOOSE(CONTROL!$C$22, $C$13, 100%, $E$13)</f>
        <v>5.6623999999999999</v>
      </c>
      <c r="J18" s="64">
        <f>3.2309 * CHOOSE(CONTROL!$C$22, $C$13, 100%, $E$13)</f>
        <v>3.2309000000000001</v>
      </c>
      <c r="K18" s="64">
        <f>3.2334 * CHOOSE(CONTROL!$C$22, $C$13, 100%, $E$13)</f>
        <v>3.2334000000000001</v>
      </c>
      <c r="L18" s="4"/>
      <c r="M18" s="64"/>
      <c r="N18" s="64"/>
    </row>
    <row r="19" spans="1:14" ht="15">
      <c r="A19" s="13">
        <v>42217</v>
      </c>
      <c r="B19" s="63">
        <f>2.2353 * CHOOSE(CONTROL!$C$22, $C$13, 100%, $E$13)</f>
        <v>2.2353000000000001</v>
      </c>
      <c r="C19" s="63">
        <f>2.2353 * CHOOSE(CONTROL!$C$22, $C$13, 100%, $E$13)</f>
        <v>2.2353000000000001</v>
      </c>
      <c r="D19" s="63">
        <f>2.2752 * CHOOSE(CONTROL!$C$22, $C$13, 100%, $E$13)</f>
        <v>2.2751999999999999</v>
      </c>
      <c r="E19" s="64">
        <f>3.4538 * CHOOSE(CONTROL!$C$22, $C$13, 100%, $E$13)</f>
        <v>3.4538000000000002</v>
      </c>
      <c r="F19" s="64">
        <f>4.06 * CHOOSE(CONTROL!$C$22, $C$13, 100%, $E$13)</f>
        <v>4.0599999999999996</v>
      </c>
      <c r="G19" s="64">
        <f>4.0624 * CHOOSE(CONTROL!$C$22, $C$13, 100%, $E$13)</f>
        <v>4.0624000000000002</v>
      </c>
      <c r="H19" s="64">
        <f>5.6717* CHOOSE(CONTROL!$C$22, $C$13, 100%, $E$13)</f>
        <v>5.6717000000000004</v>
      </c>
      <c r="I19" s="64">
        <f>5.6742 * CHOOSE(CONTROL!$C$22, $C$13, 100%, $E$13)</f>
        <v>5.6741999999999999</v>
      </c>
      <c r="J19" s="64">
        <f>3.4538 * CHOOSE(CONTROL!$C$22, $C$13, 100%, $E$13)</f>
        <v>3.4538000000000002</v>
      </c>
      <c r="K19" s="64">
        <f>3.4562 * CHOOSE(CONTROL!$C$22, $C$13, 100%, $E$13)</f>
        <v>3.4561999999999999</v>
      </c>
      <c r="L19" s="4"/>
      <c r="M19" s="64"/>
      <c r="N19" s="64"/>
    </row>
    <row r="20" spans="1:14" ht="15">
      <c r="A20" s="13">
        <v>42248</v>
      </c>
      <c r="B20" s="63">
        <f>2.2292 * CHOOSE(CONTROL!$C$22, $C$13, 100%, $E$13)</f>
        <v>2.2292000000000001</v>
      </c>
      <c r="C20" s="63">
        <f>2.2292 * CHOOSE(CONTROL!$C$22, $C$13, 100%, $E$13)</f>
        <v>2.2292000000000001</v>
      </c>
      <c r="D20" s="63">
        <f>2.2691 * CHOOSE(CONTROL!$C$22, $C$13, 100%, $E$13)</f>
        <v>2.2690999999999999</v>
      </c>
      <c r="E20" s="64">
        <f>3.3064 * CHOOSE(CONTROL!$C$22, $C$13, 100%, $E$13)</f>
        <v>3.3064</v>
      </c>
      <c r="F20" s="64">
        <f>4.06 * CHOOSE(CONTROL!$C$22, $C$13, 100%, $E$13)</f>
        <v>4.0599999999999996</v>
      </c>
      <c r="G20" s="64">
        <f>4.0624 * CHOOSE(CONTROL!$C$22, $C$13, 100%, $E$13)</f>
        <v>4.0624000000000002</v>
      </c>
      <c r="H20" s="64">
        <f>5.6835* CHOOSE(CONTROL!$C$22, $C$13, 100%, $E$13)</f>
        <v>5.6835000000000004</v>
      </c>
      <c r="I20" s="64">
        <f>5.686 * CHOOSE(CONTROL!$C$22, $C$13, 100%, $E$13)</f>
        <v>5.6859999999999999</v>
      </c>
      <c r="J20" s="64">
        <f>3.3064 * CHOOSE(CONTROL!$C$22, $C$13, 100%, $E$13)</f>
        <v>3.3064</v>
      </c>
      <c r="K20" s="64">
        <f>3.3088 * CHOOSE(CONTROL!$C$22, $C$13, 100%, $E$13)</f>
        <v>3.3088000000000002</v>
      </c>
      <c r="L20" s="4"/>
      <c r="M20" s="64"/>
      <c r="N20" s="64"/>
    </row>
    <row r="21" spans="1:14" ht="15">
      <c r="A21" s="13">
        <v>42278</v>
      </c>
      <c r="B21" s="63">
        <f>2.2231 * CHOOSE(CONTROL!$C$22, $C$13, 100%, $E$13)</f>
        <v>2.2231000000000001</v>
      </c>
      <c r="C21" s="63">
        <f>2.2231 * CHOOSE(CONTROL!$C$22, $C$13, 100%, $E$13)</f>
        <v>2.2231000000000001</v>
      </c>
      <c r="D21" s="63">
        <f>2.2431 * CHOOSE(CONTROL!$C$22, $C$13, 100%, $E$13)</f>
        <v>2.2431000000000001</v>
      </c>
      <c r="E21" s="64">
        <f>3.4538 * CHOOSE(CONTROL!$C$22, $C$13, 100%, $E$13)</f>
        <v>3.4538000000000002</v>
      </c>
      <c r="F21" s="64">
        <f>4.06 * CHOOSE(CONTROL!$C$22, $C$13, 100%, $E$13)</f>
        <v>4.0599999999999996</v>
      </c>
      <c r="G21" s="64">
        <f>4.0602 * CHOOSE(CONTROL!$C$22, $C$13, 100%, $E$13)</f>
        <v>4.0602</v>
      </c>
      <c r="H21" s="64">
        <f>5.6954* CHOOSE(CONTROL!$C$22, $C$13, 100%, $E$13)</f>
        <v>5.6954000000000002</v>
      </c>
      <c r="I21" s="64">
        <f>5.6955 * CHOOSE(CONTROL!$C$22, $C$13, 100%, $E$13)</f>
        <v>5.6955</v>
      </c>
      <c r="J21" s="64">
        <f>3.4538 * CHOOSE(CONTROL!$C$22, $C$13, 100%, $E$13)</f>
        <v>3.4538000000000002</v>
      </c>
      <c r="K21" s="64">
        <f>3.4539 * CHOOSE(CONTROL!$C$22, $C$13, 100%, $E$13)</f>
        <v>3.4539</v>
      </c>
      <c r="L21" s="4"/>
      <c r="M21" s="64"/>
      <c r="N21" s="64"/>
    </row>
    <row r="22" spans="1:14" ht="15">
      <c r="A22" s="13">
        <v>42309</v>
      </c>
      <c r="B22" s="63">
        <f>2.242 * CHOOSE(CONTROL!$C$22, $C$13, 100%, $E$13)</f>
        <v>2.242</v>
      </c>
      <c r="C22" s="63">
        <f>2.242 * CHOOSE(CONTROL!$C$22, $C$13, 100%, $E$13)</f>
        <v>2.242</v>
      </c>
      <c r="D22" s="63">
        <f>2.262 * CHOOSE(CONTROL!$C$22, $C$13, 100%, $E$13)</f>
        <v>2.262</v>
      </c>
      <c r="E22" s="64">
        <f>3.3432 * CHOOSE(CONTROL!$C$22, $C$13, 100%, $E$13)</f>
        <v>3.3431999999999999</v>
      </c>
      <c r="F22" s="64">
        <f>4.06 * CHOOSE(CONTROL!$C$22, $C$13, 100%, $E$13)</f>
        <v>4.0599999999999996</v>
      </c>
      <c r="G22" s="64">
        <f>4.0602 * CHOOSE(CONTROL!$C$22, $C$13, 100%, $E$13)</f>
        <v>4.0602</v>
      </c>
      <c r="H22" s="64">
        <f>5.7072* CHOOSE(CONTROL!$C$22, $C$13, 100%, $E$13)</f>
        <v>5.7072000000000003</v>
      </c>
      <c r="I22" s="64">
        <f>5.7074 * CHOOSE(CONTROL!$C$22, $C$13, 100%, $E$13)</f>
        <v>5.7073999999999998</v>
      </c>
      <c r="J22" s="64">
        <f>3.3432 * CHOOSE(CONTROL!$C$22, $C$13, 100%, $E$13)</f>
        <v>3.3431999999999999</v>
      </c>
      <c r="K22" s="64">
        <f>3.3434 * CHOOSE(CONTROL!$C$22, $C$13, 100%, $E$13)</f>
        <v>3.3433999999999999</v>
      </c>
      <c r="L22" s="4"/>
      <c r="M22" s="64"/>
      <c r="N22" s="64"/>
    </row>
    <row r="23" spans="1:14" ht="15">
      <c r="A23" s="13">
        <v>42339</v>
      </c>
      <c r="B23" s="63">
        <f>2.2724 * CHOOSE(CONTROL!$C$22, $C$13, 100%, $E$13)</f>
        <v>2.2724000000000002</v>
      </c>
      <c r="C23" s="63">
        <f>2.2724 * CHOOSE(CONTROL!$C$22, $C$13, 100%, $E$13)</f>
        <v>2.2724000000000002</v>
      </c>
      <c r="D23" s="63">
        <f>2.2924 * CHOOSE(CONTROL!$C$22, $C$13, 100%, $E$13)</f>
        <v>2.2924000000000002</v>
      </c>
      <c r="E23" s="64">
        <f>3.3054 * CHOOSE(CONTROL!$C$22, $C$13, 100%, $E$13)</f>
        <v>3.3054000000000001</v>
      </c>
      <c r="F23" s="64">
        <f>4.06 * CHOOSE(CONTROL!$C$22, $C$13, 100%, $E$13)</f>
        <v>4.0599999999999996</v>
      </c>
      <c r="G23" s="64">
        <f>4.0602 * CHOOSE(CONTROL!$C$22, $C$13, 100%, $E$13)</f>
        <v>4.0602</v>
      </c>
      <c r="H23" s="64">
        <f>5.7191* CHOOSE(CONTROL!$C$22, $C$13, 100%, $E$13)</f>
        <v>5.7191000000000001</v>
      </c>
      <c r="I23" s="64">
        <f>5.7193 * CHOOSE(CONTROL!$C$22, $C$13, 100%, $E$13)</f>
        <v>5.7192999999999996</v>
      </c>
      <c r="J23" s="64">
        <f>3.3054 * CHOOSE(CONTROL!$C$22, $C$13, 100%, $E$13)</f>
        <v>3.3054000000000001</v>
      </c>
      <c r="K23" s="64">
        <f>3.3056 * CHOOSE(CONTROL!$C$22, $C$13, 100%, $E$13)</f>
        <v>3.3056000000000001</v>
      </c>
      <c r="L23" s="4"/>
      <c r="M23" s="64"/>
      <c r="N23" s="64"/>
    </row>
    <row r="24" spans="1:14" ht="15">
      <c r="A24" s="13">
        <v>42370</v>
      </c>
      <c r="B24" s="63">
        <f>2.6078 * CHOOSE(CONTROL!$C$22, $C$13, 100%, $E$13)</f>
        <v>2.6078000000000001</v>
      </c>
      <c r="C24" s="63">
        <f>2.6078 * CHOOSE(CONTROL!$C$22, $C$13, 100%, $E$13)</f>
        <v>2.6078000000000001</v>
      </c>
      <c r="D24" s="63">
        <f>2.6278 * CHOOSE(CONTROL!$C$22, $C$13, 100%, $E$13)</f>
        <v>2.6278000000000001</v>
      </c>
      <c r="E24" s="64">
        <f>3.383 * CHOOSE(CONTROL!$C$22, $C$13, 100%, $E$13)</f>
        <v>3.383</v>
      </c>
      <c r="F24" s="64">
        <f>4.017 * CHOOSE(CONTROL!$C$22, $C$13, 100%, $E$13)</f>
        <v>4.0170000000000003</v>
      </c>
      <c r="G24" s="64">
        <f>4.0172 * CHOOSE(CONTROL!$C$22, $C$13, 100%, $E$13)</f>
        <v>4.0171999999999999</v>
      </c>
      <c r="H24" s="64">
        <f>5.731* CHOOSE(CONTROL!$C$22, $C$13, 100%, $E$13)</f>
        <v>5.7309999999999999</v>
      </c>
      <c r="I24" s="64">
        <f>5.7312 * CHOOSE(CONTROL!$C$22, $C$13, 100%, $E$13)</f>
        <v>5.7312000000000003</v>
      </c>
      <c r="J24" s="64">
        <f>3.383 * CHOOSE(CONTROL!$C$22, $C$13, 100%, $E$13)</f>
        <v>3.383</v>
      </c>
      <c r="K24" s="64">
        <f>3.3832 * CHOOSE(CONTROL!$C$22, $C$13, 100%, $E$13)</f>
        <v>3.3832</v>
      </c>
      <c r="L24" s="4"/>
      <c r="M24" s="64"/>
      <c r="N24" s="64"/>
    </row>
    <row r="25" spans="1:14" ht="15">
      <c r="A25" s="13">
        <v>42401</v>
      </c>
      <c r="B25" s="63">
        <f>2.6017 * CHOOSE(CONTROL!$C$22, $C$13, 100%, $E$13)</f>
        <v>2.6017000000000001</v>
      </c>
      <c r="C25" s="63">
        <f>2.6017 * CHOOSE(CONTROL!$C$22, $C$13, 100%, $E$13)</f>
        <v>2.6017000000000001</v>
      </c>
      <c r="D25" s="63">
        <f>2.6217 * CHOOSE(CONTROL!$C$22, $C$13, 100%, $E$13)</f>
        <v>2.6217000000000001</v>
      </c>
      <c r="E25" s="64">
        <f>3.3427 * CHOOSE(CONTROL!$C$22, $C$13, 100%, $E$13)</f>
        <v>3.3426999999999998</v>
      </c>
      <c r="F25" s="64">
        <f>4.035 * CHOOSE(CONTROL!$C$22, $C$13, 100%, $E$13)</f>
        <v>4.0350000000000001</v>
      </c>
      <c r="G25" s="64">
        <f>4.0352 * CHOOSE(CONTROL!$C$22, $C$13, 100%, $E$13)</f>
        <v>4.0351999999999997</v>
      </c>
      <c r="H25" s="64">
        <f>5.743* CHOOSE(CONTROL!$C$22, $C$13, 100%, $E$13)</f>
        <v>5.7430000000000003</v>
      </c>
      <c r="I25" s="64">
        <f>5.7432 * CHOOSE(CONTROL!$C$22, $C$13, 100%, $E$13)</f>
        <v>5.7431999999999999</v>
      </c>
      <c r="J25" s="64">
        <f>3.3427 * CHOOSE(CONTROL!$C$22, $C$13, 100%, $E$13)</f>
        <v>3.3426999999999998</v>
      </c>
      <c r="K25" s="64">
        <f>3.3429 * CHOOSE(CONTROL!$C$22, $C$13, 100%, $E$13)</f>
        <v>3.3429000000000002</v>
      </c>
      <c r="L25" s="4"/>
      <c r="M25" s="64"/>
      <c r="N25" s="64"/>
    </row>
    <row r="26" spans="1:14" ht="15">
      <c r="A26" s="13">
        <v>42430</v>
      </c>
      <c r="B26" s="63">
        <f>2.5956 * CHOOSE(CONTROL!$C$22, $C$13, 100%, $E$13)</f>
        <v>2.5956000000000001</v>
      </c>
      <c r="C26" s="63">
        <f>2.5956 * CHOOSE(CONTROL!$C$22, $C$13, 100%, $E$13)</f>
        <v>2.5956000000000001</v>
      </c>
      <c r="D26" s="63">
        <f>2.6156 * CHOOSE(CONTROL!$C$22, $C$13, 100%, $E$13)</f>
        <v>2.6156000000000001</v>
      </c>
      <c r="E26" s="64">
        <f>3.5819 * CHOOSE(CONTROL!$C$22, $C$13, 100%, $E$13)</f>
        <v>3.5819000000000001</v>
      </c>
      <c r="F26" s="64">
        <f>4.01 * CHOOSE(CONTROL!$C$22, $C$13, 100%, $E$13)</f>
        <v>4.01</v>
      </c>
      <c r="G26" s="64">
        <f>4.0102 * CHOOSE(CONTROL!$C$22, $C$13, 100%, $E$13)</f>
        <v>4.0102000000000002</v>
      </c>
      <c r="H26" s="64">
        <f>5.7549* CHOOSE(CONTROL!$C$22, $C$13, 100%, $E$13)</f>
        <v>5.7549000000000001</v>
      </c>
      <c r="I26" s="64">
        <f>5.7551 * CHOOSE(CONTROL!$C$22, $C$13, 100%, $E$13)</f>
        <v>5.7550999999999997</v>
      </c>
      <c r="J26" s="64">
        <f>3.5819 * CHOOSE(CONTROL!$C$22, $C$13, 100%, $E$13)</f>
        <v>3.5819000000000001</v>
      </c>
      <c r="K26" s="64">
        <f>3.5821 * CHOOSE(CONTROL!$C$22, $C$13, 100%, $E$13)</f>
        <v>3.5821000000000001</v>
      </c>
      <c r="L26" s="4"/>
      <c r="M26" s="64"/>
      <c r="N26" s="64"/>
    </row>
    <row r="27" spans="1:14" ht="15">
      <c r="A27" s="13">
        <v>42461</v>
      </c>
      <c r="B27" s="63">
        <f>2.6042 * CHOOSE(CONTROL!$C$22, $C$13, 100%, $E$13)</f>
        <v>2.6042000000000001</v>
      </c>
      <c r="C27" s="63">
        <f>2.6042 * CHOOSE(CONTROL!$C$22, $C$13, 100%, $E$13)</f>
        <v>2.6042000000000001</v>
      </c>
      <c r="D27" s="63">
        <f>2.6242 * CHOOSE(CONTROL!$C$22, $C$13, 100%, $E$13)</f>
        <v>2.6242000000000001</v>
      </c>
      <c r="E27" s="64">
        <f>3.3427 * CHOOSE(CONTROL!$C$22, $C$13, 100%, $E$13)</f>
        <v>3.3426999999999998</v>
      </c>
      <c r="F27" s="64">
        <f>4.035 * CHOOSE(CONTROL!$C$22, $C$13, 100%, $E$13)</f>
        <v>4.0350000000000001</v>
      </c>
      <c r="G27" s="64">
        <f>4.0352 * CHOOSE(CONTROL!$C$22, $C$13, 100%, $E$13)</f>
        <v>4.0351999999999997</v>
      </c>
      <c r="H27" s="64">
        <f>5.7669* CHOOSE(CONTROL!$C$22, $C$13, 100%, $E$13)</f>
        <v>5.7668999999999997</v>
      </c>
      <c r="I27" s="64">
        <f>5.7671 * CHOOSE(CONTROL!$C$22, $C$13, 100%, $E$13)</f>
        <v>5.7671000000000001</v>
      </c>
      <c r="J27" s="64">
        <f>3.3427 * CHOOSE(CONTROL!$C$22, $C$13, 100%, $E$13)</f>
        <v>3.3426999999999998</v>
      </c>
      <c r="K27" s="64">
        <f>3.3429 * CHOOSE(CONTROL!$C$22, $C$13, 100%, $E$13)</f>
        <v>3.3429000000000002</v>
      </c>
      <c r="L27" s="4"/>
      <c r="M27" s="64"/>
      <c r="N27" s="64"/>
    </row>
    <row r="28" spans="1:14" ht="15">
      <c r="A28" s="13">
        <v>42491</v>
      </c>
      <c r="B28" s="63">
        <f>2.6103 * CHOOSE(CONTROL!$C$22, $C$13, 100%, $E$13)</f>
        <v>2.6103000000000001</v>
      </c>
      <c r="C28" s="63">
        <f>2.6103 * CHOOSE(CONTROL!$C$22, $C$13, 100%, $E$13)</f>
        <v>2.6103000000000001</v>
      </c>
      <c r="D28" s="63">
        <f>2.6502 * CHOOSE(CONTROL!$C$22, $C$13, 100%, $E$13)</f>
        <v>2.6501999999999999</v>
      </c>
      <c r="E28" s="64">
        <f>3.3395 * CHOOSE(CONTROL!$C$22, $C$13, 100%, $E$13)</f>
        <v>3.3395000000000001</v>
      </c>
      <c r="F28" s="64">
        <f>4.005 * CHOOSE(CONTROL!$C$22, $C$13, 100%, $E$13)</f>
        <v>4.0049999999999999</v>
      </c>
      <c r="G28" s="64">
        <f>4.0074 * CHOOSE(CONTROL!$C$22, $C$13, 100%, $E$13)</f>
        <v>4.0073999999999996</v>
      </c>
      <c r="H28" s="64">
        <f>5.7789* CHOOSE(CONTROL!$C$22, $C$13, 100%, $E$13)</f>
        <v>5.7789000000000001</v>
      </c>
      <c r="I28" s="64">
        <f>5.7814 * CHOOSE(CONTROL!$C$22, $C$13, 100%, $E$13)</f>
        <v>5.7813999999999997</v>
      </c>
      <c r="J28" s="64">
        <f>3.3395 * CHOOSE(CONTROL!$C$22, $C$13, 100%, $E$13)</f>
        <v>3.3395000000000001</v>
      </c>
      <c r="K28" s="64">
        <f>3.3419 * CHOOSE(CONTROL!$C$22, $C$13, 100%, $E$13)</f>
        <v>3.3418999999999999</v>
      </c>
      <c r="L28" s="4"/>
      <c r="M28" s="64"/>
      <c r="N28" s="64"/>
    </row>
    <row r="29" spans="1:14" ht="15">
      <c r="A29" s="13">
        <v>42522</v>
      </c>
      <c r="B29" s="63">
        <f>2.6164 * CHOOSE(CONTROL!$C$22, $C$13, 100%, $E$13)</f>
        <v>2.6164000000000001</v>
      </c>
      <c r="C29" s="63">
        <f>2.6164 * CHOOSE(CONTROL!$C$22, $C$13, 100%, $E$13)</f>
        <v>2.6164000000000001</v>
      </c>
      <c r="D29" s="63">
        <f>2.6563 * CHOOSE(CONTROL!$C$22, $C$13, 100%, $E$13)</f>
        <v>2.6562999999999999</v>
      </c>
      <c r="E29" s="64">
        <f>3.1559 * CHOOSE(CONTROL!$C$22, $C$13, 100%, $E$13)</f>
        <v>3.1558999999999999</v>
      </c>
      <c r="F29" s="64">
        <f>4.017 * CHOOSE(CONTROL!$C$22, $C$13, 100%, $E$13)</f>
        <v>4.0170000000000003</v>
      </c>
      <c r="G29" s="64">
        <f>4.0194 * CHOOSE(CONTROL!$C$22, $C$13, 100%, $E$13)</f>
        <v>4.0194000000000001</v>
      </c>
      <c r="H29" s="64">
        <f>5.791* CHOOSE(CONTROL!$C$22, $C$13, 100%, $E$13)</f>
        <v>5.7910000000000004</v>
      </c>
      <c r="I29" s="64">
        <f>5.7934 * CHOOSE(CONTROL!$C$22, $C$13, 100%, $E$13)</f>
        <v>5.7934000000000001</v>
      </c>
      <c r="J29" s="64">
        <f>3.1559 * CHOOSE(CONTROL!$C$22, $C$13, 100%, $E$13)</f>
        <v>3.1558999999999999</v>
      </c>
      <c r="K29" s="64">
        <f>3.1584 * CHOOSE(CONTROL!$C$22, $C$13, 100%, $E$13)</f>
        <v>3.1583999999999999</v>
      </c>
      <c r="L29" s="4"/>
      <c r="M29" s="64"/>
      <c r="N29" s="64"/>
    </row>
    <row r="30" spans="1:14" ht="15">
      <c r="A30" s="13">
        <v>42552</v>
      </c>
      <c r="B30" s="63">
        <f>2.6506 * CHOOSE(CONTROL!$C$22, $C$13, 100%, $E$13)</f>
        <v>2.6505999999999998</v>
      </c>
      <c r="C30" s="63">
        <f>2.6506 * CHOOSE(CONTROL!$C$22, $C$13, 100%, $E$13)</f>
        <v>2.6505999999999998</v>
      </c>
      <c r="D30" s="63">
        <f>2.6905 * CHOOSE(CONTROL!$C$22, $C$13, 100%, $E$13)</f>
        <v>2.6905000000000001</v>
      </c>
      <c r="E30" s="64">
        <f>3.2732 * CHOOSE(CONTROL!$C$22, $C$13, 100%, $E$13)</f>
        <v>3.2732000000000001</v>
      </c>
      <c r="F30" s="64">
        <f>4.017 * CHOOSE(CONTROL!$C$22, $C$13, 100%, $E$13)</f>
        <v>4.0170000000000003</v>
      </c>
      <c r="G30" s="64">
        <f>4.0194 * CHOOSE(CONTROL!$C$22, $C$13, 100%, $E$13)</f>
        <v>4.0194000000000001</v>
      </c>
      <c r="H30" s="64">
        <f>5.8031* CHOOSE(CONTROL!$C$22, $C$13, 100%, $E$13)</f>
        <v>5.8030999999999997</v>
      </c>
      <c r="I30" s="64">
        <f>5.8055 * CHOOSE(CONTROL!$C$22, $C$13, 100%, $E$13)</f>
        <v>5.8055000000000003</v>
      </c>
      <c r="J30" s="64">
        <f>3.2732 * CHOOSE(CONTROL!$C$22, $C$13, 100%, $E$13)</f>
        <v>3.2732000000000001</v>
      </c>
      <c r="K30" s="64">
        <f>3.2756 * CHOOSE(CONTROL!$C$22, $C$13, 100%, $E$13)</f>
        <v>3.2755999999999998</v>
      </c>
      <c r="L30" s="4"/>
      <c r="M30" s="4"/>
      <c r="N30" s="4"/>
    </row>
    <row r="31" spans="1:14" ht="15">
      <c r="A31" s="13">
        <v>42583</v>
      </c>
      <c r="B31" s="63">
        <f>2.6658 * CHOOSE(CONTROL!$C$22, $C$13, 100%, $E$13)</f>
        <v>2.6657999999999999</v>
      </c>
      <c r="C31" s="63">
        <f>2.6658 * CHOOSE(CONTROL!$C$22, $C$13, 100%, $E$13)</f>
        <v>2.6657999999999999</v>
      </c>
      <c r="D31" s="63">
        <f>2.7057 * CHOOSE(CONTROL!$C$22, $C$13, 100%, $E$13)</f>
        <v>2.7057000000000002</v>
      </c>
      <c r="E31" s="64">
        <f>3.383 * CHOOSE(CONTROL!$C$22, $C$13, 100%, $E$13)</f>
        <v>3.383</v>
      </c>
      <c r="F31" s="64">
        <f>4.017 * CHOOSE(CONTROL!$C$22, $C$13, 100%, $E$13)</f>
        <v>4.0170000000000003</v>
      </c>
      <c r="G31" s="64">
        <f>4.0194 * CHOOSE(CONTROL!$C$22, $C$13, 100%, $E$13)</f>
        <v>4.0194000000000001</v>
      </c>
      <c r="H31" s="64">
        <f>5.8151* CHOOSE(CONTROL!$C$22, $C$13, 100%, $E$13)</f>
        <v>5.8151000000000002</v>
      </c>
      <c r="I31" s="64">
        <f>5.8176 * CHOOSE(CONTROL!$C$22, $C$13, 100%, $E$13)</f>
        <v>5.8175999999999997</v>
      </c>
      <c r="J31" s="64">
        <f>3.383 * CHOOSE(CONTROL!$C$22, $C$13, 100%, $E$13)</f>
        <v>3.383</v>
      </c>
      <c r="K31" s="64">
        <f>3.3855 * CHOOSE(CONTROL!$C$22, $C$13, 100%, $E$13)</f>
        <v>3.3855</v>
      </c>
      <c r="L31" s="4"/>
      <c r="M31" s="4"/>
      <c r="N31" s="4"/>
    </row>
    <row r="32" spans="1:14" ht="15">
      <c r="A32" s="13">
        <v>42614</v>
      </c>
      <c r="B32" s="63">
        <f>2.6597 * CHOOSE(CONTROL!$C$22, $C$13, 100%, $E$13)</f>
        <v>2.6597</v>
      </c>
      <c r="C32" s="63">
        <f>2.6597 * CHOOSE(CONTROL!$C$22, $C$13, 100%, $E$13)</f>
        <v>2.6597</v>
      </c>
      <c r="D32" s="63">
        <f>2.6996 * CHOOSE(CONTROL!$C$22, $C$13, 100%, $E$13)</f>
        <v>2.6996000000000002</v>
      </c>
      <c r="E32" s="64">
        <f>3.2732 * CHOOSE(CONTROL!$C$22, $C$13, 100%, $E$13)</f>
        <v>3.2732000000000001</v>
      </c>
      <c r="F32" s="64">
        <f>4.017 * CHOOSE(CONTROL!$C$22, $C$13, 100%, $E$13)</f>
        <v>4.0170000000000003</v>
      </c>
      <c r="G32" s="64">
        <f>4.0194 * CHOOSE(CONTROL!$C$22, $C$13, 100%, $E$13)</f>
        <v>4.0194000000000001</v>
      </c>
      <c r="H32" s="64">
        <f>5.8273* CHOOSE(CONTROL!$C$22, $C$13, 100%, $E$13)</f>
        <v>5.8273000000000001</v>
      </c>
      <c r="I32" s="64">
        <f>5.8297 * CHOOSE(CONTROL!$C$22, $C$13, 100%, $E$13)</f>
        <v>5.8296999999999999</v>
      </c>
      <c r="J32" s="64">
        <f>3.2732 * CHOOSE(CONTROL!$C$22, $C$13, 100%, $E$13)</f>
        <v>3.2732000000000001</v>
      </c>
      <c r="K32" s="64">
        <f>3.2756 * CHOOSE(CONTROL!$C$22, $C$13, 100%, $E$13)</f>
        <v>3.2755999999999998</v>
      </c>
      <c r="L32" s="4"/>
      <c r="M32" s="4"/>
      <c r="N32" s="4"/>
    </row>
    <row r="33" spans="1:14" ht="15">
      <c r="A33" s="13">
        <v>42644</v>
      </c>
      <c r="B33" s="63">
        <f>2.6898 * CHOOSE(CONTROL!$C$22, $C$13, 100%, $E$13)</f>
        <v>2.6898</v>
      </c>
      <c r="C33" s="63">
        <f>2.6898 * CHOOSE(CONTROL!$C$22, $C$13, 100%, $E$13)</f>
        <v>2.6898</v>
      </c>
      <c r="D33" s="63">
        <f>2.7098 * CHOOSE(CONTROL!$C$22, $C$13, 100%, $E$13)</f>
        <v>2.7098</v>
      </c>
      <c r="E33" s="64">
        <f>3.3427 * CHOOSE(CONTROL!$C$22, $C$13, 100%, $E$13)</f>
        <v>3.3426999999999998</v>
      </c>
      <c r="F33" s="64">
        <f>4.035 * CHOOSE(CONTROL!$C$22, $C$13, 100%, $E$13)</f>
        <v>4.0350000000000001</v>
      </c>
      <c r="G33" s="64">
        <f>4.0352 * CHOOSE(CONTROL!$C$22, $C$13, 100%, $E$13)</f>
        <v>4.0351999999999997</v>
      </c>
      <c r="H33" s="64">
        <f>5.8394* CHOOSE(CONTROL!$C$22, $C$13, 100%, $E$13)</f>
        <v>5.8394000000000004</v>
      </c>
      <c r="I33" s="64">
        <f>5.8396 * CHOOSE(CONTROL!$C$22, $C$13, 100%, $E$13)</f>
        <v>5.8395999999999999</v>
      </c>
      <c r="J33" s="64">
        <f>3.3427 * CHOOSE(CONTROL!$C$22, $C$13, 100%, $E$13)</f>
        <v>3.3426999999999998</v>
      </c>
      <c r="K33" s="64">
        <f>3.3429 * CHOOSE(CONTROL!$C$22, $C$13, 100%, $E$13)</f>
        <v>3.3429000000000002</v>
      </c>
      <c r="L33" s="4"/>
      <c r="M33" s="4"/>
      <c r="N33" s="4"/>
    </row>
    <row r="34" spans="1:14" ht="15">
      <c r="A34" s="13">
        <v>42675</v>
      </c>
      <c r="B34" s="63">
        <f>2.6928 * CHOOSE(CONTROL!$C$22, $C$13, 100%, $E$13)</f>
        <v>2.6928000000000001</v>
      </c>
      <c r="C34" s="63">
        <f>2.6928 * CHOOSE(CONTROL!$C$22, $C$13, 100%, $E$13)</f>
        <v>2.6928000000000001</v>
      </c>
      <c r="D34" s="63">
        <f>2.7128 * CHOOSE(CONTROL!$C$22, $C$13, 100%, $E$13)</f>
        <v>2.7128000000000001</v>
      </c>
      <c r="E34" s="64">
        <f>3.3427 * CHOOSE(CONTROL!$C$22, $C$13, 100%, $E$13)</f>
        <v>3.3426999999999998</v>
      </c>
      <c r="F34" s="64">
        <f>4.035 * CHOOSE(CONTROL!$C$22, $C$13, 100%, $E$13)</f>
        <v>4.0350000000000001</v>
      </c>
      <c r="G34" s="64">
        <f>4.0352 * CHOOSE(CONTROL!$C$22, $C$13, 100%, $E$13)</f>
        <v>4.0351999999999997</v>
      </c>
      <c r="H34" s="64">
        <f>5.8516* CHOOSE(CONTROL!$C$22, $C$13, 100%, $E$13)</f>
        <v>5.8516000000000004</v>
      </c>
      <c r="I34" s="64">
        <f>5.8517 * CHOOSE(CONTROL!$C$22, $C$13, 100%, $E$13)</f>
        <v>5.8517000000000001</v>
      </c>
      <c r="J34" s="64">
        <f>3.3427 * CHOOSE(CONTROL!$C$22, $C$13, 100%, $E$13)</f>
        <v>3.3426999999999998</v>
      </c>
      <c r="K34" s="64">
        <f>3.3429 * CHOOSE(CONTROL!$C$22, $C$13, 100%, $E$13)</f>
        <v>3.3429000000000002</v>
      </c>
      <c r="L34" s="4"/>
      <c r="M34" s="4"/>
      <c r="N34" s="4"/>
    </row>
    <row r="35" spans="1:14" ht="15">
      <c r="A35" s="13">
        <v>42705</v>
      </c>
      <c r="B35" s="63">
        <f>2.6959 * CHOOSE(CONTROL!$C$22, $C$13, 100%, $E$13)</f>
        <v>2.6959</v>
      </c>
      <c r="C35" s="63">
        <f>2.6959 * CHOOSE(CONTROL!$C$22, $C$13, 100%, $E$13)</f>
        <v>2.6959</v>
      </c>
      <c r="D35" s="63">
        <f>2.7158 * CHOOSE(CONTROL!$C$22, $C$13, 100%, $E$13)</f>
        <v>2.7158000000000002</v>
      </c>
      <c r="E35" s="64">
        <f>3.5831 * CHOOSE(CONTROL!$C$22, $C$13, 100%, $E$13)</f>
        <v>3.5831</v>
      </c>
      <c r="F35" s="64">
        <f>4.017 * CHOOSE(CONTROL!$C$22, $C$13, 100%, $E$13)</f>
        <v>4.0170000000000003</v>
      </c>
      <c r="G35" s="64">
        <f>4.0172 * CHOOSE(CONTROL!$C$22, $C$13, 100%, $E$13)</f>
        <v>4.0171999999999999</v>
      </c>
      <c r="H35" s="64">
        <f>5.8638* CHOOSE(CONTROL!$C$22, $C$13, 100%, $E$13)</f>
        <v>5.8638000000000003</v>
      </c>
      <c r="I35" s="64">
        <f>5.8639 * CHOOSE(CONTROL!$C$22, $C$13, 100%, $E$13)</f>
        <v>5.8639000000000001</v>
      </c>
      <c r="J35" s="64">
        <f>3.5831 * CHOOSE(CONTROL!$C$22, $C$13, 100%, $E$13)</f>
        <v>3.5831</v>
      </c>
      <c r="K35" s="64">
        <f>3.5833 * CHOOSE(CONTROL!$C$22, $C$13, 100%, $E$13)</f>
        <v>3.5832999999999999</v>
      </c>
      <c r="L35" s="4"/>
      <c r="M35" s="4"/>
      <c r="N35" s="4"/>
    </row>
    <row r="36" spans="1:14" ht="15">
      <c r="A36" s="13">
        <v>42736</v>
      </c>
      <c r="B36" s="63">
        <f>2.7015 * CHOOSE(CONTROL!$C$22, $C$13, 100%, $E$13)</f>
        <v>2.7014999999999998</v>
      </c>
      <c r="C36" s="63">
        <f>2.7015 * CHOOSE(CONTROL!$C$22, $C$13, 100%, $E$13)</f>
        <v>2.7014999999999998</v>
      </c>
      <c r="D36" s="63">
        <f>2.7215 * CHOOSE(CONTROL!$C$22, $C$13, 100%, $E$13)</f>
        <v>2.7214999999999998</v>
      </c>
      <c r="E36" s="64">
        <f>3.4856 * CHOOSE(CONTROL!$C$22, $C$13, 100%, $E$13)</f>
        <v>3.4855999999999998</v>
      </c>
      <c r="F36" s="64">
        <f>3.4856 * CHOOSE(CONTROL!$C$22, $C$13, 100%, $E$13)</f>
        <v>3.4855999999999998</v>
      </c>
      <c r="G36" s="64">
        <f>3.4858 * CHOOSE(CONTROL!$C$22, $C$13, 100%, $E$13)</f>
        <v>3.4857999999999998</v>
      </c>
      <c r="H36" s="64">
        <f>5.876* CHOOSE(CONTROL!$C$22, $C$13, 100%, $E$13)</f>
        <v>5.8760000000000003</v>
      </c>
      <c r="I36" s="64">
        <f>5.8761 * CHOOSE(CONTROL!$C$22, $C$13, 100%, $E$13)</f>
        <v>5.8761000000000001</v>
      </c>
      <c r="J36" s="64">
        <f>3.4856 * CHOOSE(CONTROL!$C$22, $C$13, 100%, $E$13)</f>
        <v>3.4855999999999998</v>
      </c>
      <c r="K36" s="64">
        <f>3.4858 * CHOOSE(CONTROL!$C$22, $C$13, 100%, $E$13)</f>
        <v>3.4857999999999998</v>
      </c>
      <c r="L36" s="4"/>
      <c r="M36" s="4"/>
      <c r="N36" s="4"/>
    </row>
    <row r="37" spans="1:14" ht="15">
      <c r="A37" s="13">
        <v>42767</v>
      </c>
      <c r="B37" s="63">
        <f>2.6954 * CHOOSE(CONTROL!$C$22, $C$13, 100%, $E$13)</f>
        <v>2.6953999999999998</v>
      </c>
      <c r="C37" s="63">
        <f>2.6954 * CHOOSE(CONTROL!$C$22, $C$13, 100%, $E$13)</f>
        <v>2.6953999999999998</v>
      </c>
      <c r="D37" s="63">
        <f>2.7154 * CHOOSE(CONTROL!$C$22, $C$13, 100%, $E$13)</f>
        <v>2.7153999999999998</v>
      </c>
      <c r="E37" s="64">
        <f>3.3873 * CHOOSE(CONTROL!$C$22, $C$13, 100%, $E$13)</f>
        <v>3.3873000000000002</v>
      </c>
      <c r="F37" s="64">
        <f>3.3873 * CHOOSE(CONTROL!$C$22, $C$13, 100%, $E$13)</f>
        <v>3.3873000000000002</v>
      </c>
      <c r="G37" s="64">
        <f>3.3875 * CHOOSE(CONTROL!$C$22, $C$13, 100%, $E$13)</f>
        <v>3.3875000000000002</v>
      </c>
      <c r="H37" s="64">
        <f>5.8882* CHOOSE(CONTROL!$C$22, $C$13, 100%, $E$13)</f>
        <v>5.8882000000000003</v>
      </c>
      <c r="I37" s="64">
        <f>5.8884 * CHOOSE(CONTROL!$C$22, $C$13, 100%, $E$13)</f>
        <v>5.8883999999999999</v>
      </c>
      <c r="J37" s="64">
        <f>3.3873 * CHOOSE(CONTROL!$C$22, $C$13, 100%, $E$13)</f>
        <v>3.3873000000000002</v>
      </c>
      <c r="K37" s="64">
        <f>3.3875 * CHOOSE(CONTROL!$C$22, $C$13, 100%, $E$13)</f>
        <v>3.3875000000000002</v>
      </c>
      <c r="L37" s="4"/>
      <c r="M37" s="4"/>
      <c r="N37" s="4"/>
    </row>
    <row r="38" spans="1:14" ht="15">
      <c r="A38" s="13">
        <v>42795</v>
      </c>
      <c r="B38" s="63">
        <f>2.6924 * CHOOSE(CONTROL!$C$22, $C$13, 100%, $E$13)</f>
        <v>2.6924000000000001</v>
      </c>
      <c r="C38" s="63">
        <f>2.6924 * CHOOSE(CONTROL!$C$22, $C$13, 100%, $E$13)</f>
        <v>2.6924000000000001</v>
      </c>
      <c r="D38" s="63">
        <f>2.7123 * CHOOSE(CONTROL!$C$22, $C$13, 100%, $E$13)</f>
        <v>2.7122999999999999</v>
      </c>
      <c r="E38" s="64">
        <f>3.4487 * CHOOSE(CONTROL!$C$22, $C$13, 100%, $E$13)</f>
        <v>3.4487000000000001</v>
      </c>
      <c r="F38" s="64">
        <f>3.4487 * CHOOSE(CONTROL!$C$22, $C$13, 100%, $E$13)</f>
        <v>3.4487000000000001</v>
      </c>
      <c r="G38" s="64">
        <f>3.4489 * CHOOSE(CONTROL!$C$22, $C$13, 100%, $E$13)</f>
        <v>3.4489000000000001</v>
      </c>
      <c r="H38" s="64">
        <f>5.9005* CHOOSE(CONTROL!$C$22, $C$13, 100%, $E$13)</f>
        <v>5.9005000000000001</v>
      </c>
      <c r="I38" s="64">
        <f>5.9007 * CHOOSE(CONTROL!$C$22, $C$13, 100%, $E$13)</f>
        <v>5.9006999999999996</v>
      </c>
      <c r="J38" s="64">
        <f>3.4487 * CHOOSE(CONTROL!$C$22, $C$13, 100%, $E$13)</f>
        <v>3.4487000000000001</v>
      </c>
      <c r="K38" s="64">
        <f>3.4489 * CHOOSE(CONTROL!$C$22, $C$13, 100%, $E$13)</f>
        <v>3.4489000000000001</v>
      </c>
      <c r="L38" s="4"/>
      <c r="M38" s="4"/>
      <c r="N38" s="4"/>
    </row>
    <row r="39" spans="1:14" ht="15">
      <c r="A39" s="13">
        <v>42826</v>
      </c>
      <c r="B39" s="63">
        <f>2.7147 * CHOOSE(CONTROL!$C$22, $C$13, 100%, $E$13)</f>
        <v>2.7147000000000001</v>
      </c>
      <c r="C39" s="63">
        <f>2.7147 * CHOOSE(CONTROL!$C$22, $C$13, 100%, $E$13)</f>
        <v>2.7147000000000001</v>
      </c>
      <c r="D39" s="63">
        <f>2.7347 * CHOOSE(CONTROL!$C$22, $C$13, 100%, $E$13)</f>
        <v>2.7347000000000001</v>
      </c>
      <c r="E39" s="64">
        <f>3.3873 * CHOOSE(CONTROL!$C$22, $C$13, 100%, $E$13)</f>
        <v>3.3873000000000002</v>
      </c>
      <c r="F39" s="64">
        <f>3.3873 * CHOOSE(CONTROL!$C$22, $C$13, 100%, $E$13)</f>
        <v>3.3873000000000002</v>
      </c>
      <c r="G39" s="64">
        <f>3.3875 * CHOOSE(CONTROL!$C$22, $C$13, 100%, $E$13)</f>
        <v>3.3875000000000002</v>
      </c>
      <c r="H39" s="64">
        <f>5.9128* CHOOSE(CONTROL!$C$22, $C$13, 100%, $E$13)</f>
        <v>5.9127999999999998</v>
      </c>
      <c r="I39" s="64">
        <f>5.9129 * CHOOSE(CONTROL!$C$22, $C$13, 100%, $E$13)</f>
        <v>5.9128999999999996</v>
      </c>
      <c r="J39" s="64">
        <f>3.3873 * CHOOSE(CONTROL!$C$22, $C$13, 100%, $E$13)</f>
        <v>3.3873000000000002</v>
      </c>
      <c r="K39" s="64">
        <f>3.3875 * CHOOSE(CONTROL!$C$22, $C$13, 100%, $E$13)</f>
        <v>3.3875000000000002</v>
      </c>
      <c r="L39" s="4"/>
      <c r="M39" s="4"/>
      <c r="N39" s="4"/>
    </row>
    <row r="40" spans="1:14" ht="15">
      <c r="A40" s="13">
        <v>42856</v>
      </c>
      <c r="B40" s="63">
        <f>2.7117 * CHOOSE(CONTROL!$C$22, $C$13, 100%, $E$13)</f>
        <v>2.7117</v>
      </c>
      <c r="C40" s="63">
        <f>2.7117 * CHOOSE(CONTROL!$C$22, $C$13, 100%, $E$13)</f>
        <v>2.7117</v>
      </c>
      <c r="D40" s="63">
        <f>2.7516 * CHOOSE(CONTROL!$C$22, $C$13, 100%, $E$13)</f>
        <v>2.7515999999999998</v>
      </c>
      <c r="E40" s="64">
        <f>3.3873 * CHOOSE(CONTROL!$C$22, $C$13, 100%, $E$13)</f>
        <v>3.3873000000000002</v>
      </c>
      <c r="F40" s="64">
        <f>3.3873 * CHOOSE(CONTROL!$C$22, $C$13, 100%, $E$13)</f>
        <v>3.3873000000000002</v>
      </c>
      <c r="G40" s="64">
        <f>3.3898 * CHOOSE(CONTROL!$C$22, $C$13, 100%, $E$13)</f>
        <v>3.3898000000000001</v>
      </c>
      <c r="H40" s="64">
        <f>5.9251* CHOOSE(CONTROL!$C$22, $C$13, 100%, $E$13)</f>
        <v>5.9250999999999996</v>
      </c>
      <c r="I40" s="64">
        <f>5.9275 * CHOOSE(CONTROL!$C$22, $C$13, 100%, $E$13)</f>
        <v>5.9275000000000002</v>
      </c>
      <c r="J40" s="64">
        <f>3.3873 * CHOOSE(CONTROL!$C$22, $C$13, 100%, $E$13)</f>
        <v>3.3873000000000002</v>
      </c>
      <c r="K40" s="64">
        <f>3.3898 * CHOOSE(CONTROL!$C$22, $C$13, 100%, $E$13)</f>
        <v>3.3898000000000001</v>
      </c>
      <c r="L40" s="4"/>
      <c r="M40" s="4"/>
      <c r="N40" s="4"/>
    </row>
    <row r="41" spans="1:14" ht="15">
      <c r="A41" s="13">
        <v>42887</v>
      </c>
      <c r="B41" s="63">
        <f>2.7177 * CHOOSE(CONTROL!$C$22, $C$13, 100%, $E$13)</f>
        <v>2.7176999999999998</v>
      </c>
      <c r="C41" s="63">
        <f>2.7177 * CHOOSE(CONTROL!$C$22, $C$13, 100%, $E$13)</f>
        <v>2.7176999999999998</v>
      </c>
      <c r="D41" s="63">
        <f>2.7577 * CHOOSE(CONTROL!$C$22, $C$13, 100%, $E$13)</f>
        <v>2.7576999999999998</v>
      </c>
      <c r="E41" s="64">
        <f>3.2645 * CHOOSE(CONTROL!$C$22, $C$13, 100%, $E$13)</f>
        <v>3.2645</v>
      </c>
      <c r="F41" s="64">
        <f>3.2645 * CHOOSE(CONTROL!$C$22, $C$13, 100%, $E$13)</f>
        <v>3.2645</v>
      </c>
      <c r="G41" s="64">
        <f>3.2669 * CHOOSE(CONTROL!$C$22, $C$13, 100%, $E$13)</f>
        <v>3.2669000000000001</v>
      </c>
      <c r="H41" s="64">
        <f>5.9374* CHOOSE(CONTROL!$C$22, $C$13, 100%, $E$13)</f>
        <v>5.9374000000000002</v>
      </c>
      <c r="I41" s="64">
        <f>5.9399 * CHOOSE(CONTROL!$C$22, $C$13, 100%, $E$13)</f>
        <v>5.9398999999999997</v>
      </c>
      <c r="J41" s="64">
        <f>3.2645 * CHOOSE(CONTROL!$C$22, $C$13, 100%, $E$13)</f>
        <v>3.2645</v>
      </c>
      <c r="K41" s="64">
        <f>3.2669 * CHOOSE(CONTROL!$C$22, $C$13, 100%, $E$13)</f>
        <v>3.2669000000000001</v>
      </c>
      <c r="L41" s="4"/>
      <c r="M41" s="4"/>
      <c r="N41" s="4"/>
    </row>
    <row r="42" spans="1:14" ht="15">
      <c r="A42" s="13">
        <v>42917</v>
      </c>
      <c r="B42" s="63">
        <f>2.7414 * CHOOSE(CONTROL!$C$22, $C$13, 100%, $E$13)</f>
        <v>2.7414000000000001</v>
      </c>
      <c r="C42" s="63">
        <f>2.7414 * CHOOSE(CONTROL!$C$22, $C$13, 100%, $E$13)</f>
        <v>2.7414000000000001</v>
      </c>
      <c r="D42" s="63">
        <f>2.7814 * CHOOSE(CONTROL!$C$22, $C$13, 100%, $E$13)</f>
        <v>2.7814000000000001</v>
      </c>
      <c r="E42" s="64">
        <f>3.633 * CHOOSE(CONTROL!$C$22, $C$13, 100%, $E$13)</f>
        <v>3.633</v>
      </c>
      <c r="F42" s="64">
        <f>3.633 * CHOOSE(CONTROL!$C$22, $C$13, 100%, $E$13)</f>
        <v>3.633</v>
      </c>
      <c r="G42" s="64">
        <f>3.6354 * CHOOSE(CONTROL!$C$22, $C$13, 100%, $E$13)</f>
        <v>3.6354000000000002</v>
      </c>
      <c r="H42" s="64">
        <f>5.9498* CHOOSE(CONTROL!$C$22, $C$13, 100%, $E$13)</f>
        <v>5.9497999999999998</v>
      </c>
      <c r="I42" s="64">
        <f>5.9522 * CHOOSE(CONTROL!$C$22, $C$13, 100%, $E$13)</f>
        <v>5.9522000000000004</v>
      </c>
      <c r="J42" s="64">
        <f>3.633 * CHOOSE(CONTROL!$C$22, $C$13, 100%, $E$13)</f>
        <v>3.633</v>
      </c>
      <c r="K42" s="64">
        <f>3.6354 * CHOOSE(CONTROL!$C$22, $C$13, 100%, $E$13)</f>
        <v>3.6354000000000002</v>
      </c>
      <c r="L42" s="4"/>
      <c r="M42" s="4"/>
      <c r="N42" s="4"/>
    </row>
    <row r="43" spans="1:14" ht="15">
      <c r="A43" s="13">
        <v>42948</v>
      </c>
      <c r="B43" s="63">
        <f>2.7566 * CHOOSE(CONTROL!$C$22, $C$13, 100%, $E$13)</f>
        <v>2.7566000000000002</v>
      </c>
      <c r="C43" s="63">
        <f>2.7566 * CHOOSE(CONTROL!$C$22, $C$13, 100%, $E$13)</f>
        <v>2.7566000000000002</v>
      </c>
      <c r="D43" s="63">
        <f>2.7966 * CHOOSE(CONTROL!$C$22, $C$13, 100%, $E$13)</f>
        <v>2.7966000000000002</v>
      </c>
      <c r="E43" s="64">
        <f>3.633 * CHOOSE(CONTROL!$C$22, $C$13, 100%, $E$13)</f>
        <v>3.633</v>
      </c>
      <c r="F43" s="64">
        <f>3.633 * CHOOSE(CONTROL!$C$22, $C$13, 100%, $E$13)</f>
        <v>3.633</v>
      </c>
      <c r="G43" s="64">
        <f>3.6354 * CHOOSE(CONTROL!$C$22, $C$13, 100%, $E$13)</f>
        <v>3.6354000000000002</v>
      </c>
      <c r="H43" s="64">
        <f>5.9622* CHOOSE(CONTROL!$C$22, $C$13, 100%, $E$13)</f>
        <v>5.9622000000000002</v>
      </c>
      <c r="I43" s="64">
        <f>5.9646 * CHOOSE(CONTROL!$C$22, $C$13, 100%, $E$13)</f>
        <v>5.9645999999999999</v>
      </c>
      <c r="J43" s="64">
        <f>3.633 * CHOOSE(CONTROL!$C$22, $C$13, 100%, $E$13)</f>
        <v>3.633</v>
      </c>
      <c r="K43" s="64">
        <f>3.6354 * CHOOSE(CONTROL!$C$22, $C$13, 100%, $E$13)</f>
        <v>3.6354000000000002</v>
      </c>
      <c r="L43" s="4"/>
      <c r="M43" s="4"/>
      <c r="N43" s="4"/>
    </row>
    <row r="44" spans="1:14" ht="15">
      <c r="A44" s="13">
        <v>42979</v>
      </c>
      <c r="B44" s="63">
        <f>2.7506 * CHOOSE(CONTROL!$C$22, $C$13, 100%, $E$13)</f>
        <v>2.7505999999999999</v>
      </c>
      <c r="C44" s="63">
        <f>2.7506 * CHOOSE(CONTROL!$C$22, $C$13, 100%, $E$13)</f>
        <v>2.7505999999999999</v>
      </c>
      <c r="D44" s="63">
        <f>2.7905 * CHOOSE(CONTROL!$C$22, $C$13, 100%, $E$13)</f>
        <v>2.7905000000000002</v>
      </c>
      <c r="E44" s="64">
        <f>3.633 * CHOOSE(CONTROL!$C$22, $C$13, 100%, $E$13)</f>
        <v>3.633</v>
      </c>
      <c r="F44" s="64">
        <f>3.633 * CHOOSE(CONTROL!$C$22, $C$13, 100%, $E$13)</f>
        <v>3.633</v>
      </c>
      <c r="G44" s="64">
        <f>3.6354 * CHOOSE(CONTROL!$C$22, $C$13, 100%, $E$13)</f>
        <v>3.6354000000000002</v>
      </c>
      <c r="H44" s="64">
        <f>5.9746* CHOOSE(CONTROL!$C$22, $C$13, 100%, $E$13)</f>
        <v>5.9745999999999997</v>
      </c>
      <c r="I44" s="64">
        <f>5.9771 * CHOOSE(CONTROL!$C$22, $C$13, 100%, $E$13)</f>
        <v>5.9771000000000001</v>
      </c>
      <c r="J44" s="64">
        <f>3.633 * CHOOSE(CONTROL!$C$22, $C$13, 100%, $E$13)</f>
        <v>3.633</v>
      </c>
      <c r="K44" s="64">
        <f>3.6354 * CHOOSE(CONTROL!$C$22, $C$13, 100%, $E$13)</f>
        <v>3.6354000000000002</v>
      </c>
      <c r="L44" s="4"/>
      <c r="M44" s="4"/>
      <c r="N44" s="4"/>
    </row>
    <row r="45" spans="1:14" ht="15">
      <c r="A45" s="13">
        <v>43009</v>
      </c>
      <c r="B45" s="63">
        <f>2.7682 * CHOOSE(CONTROL!$C$22, $C$13, 100%, $E$13)</f>
        <v>2.7682000000000002</v>
      </c>
      <c r="C45" s="63">
        <f>2.7682 * CHOOSE(CONTROL!$C$22, $C$13, 100%, $E$13)</f>
        <v>2.7682000000000002</v>
      </c>
      <c r="D45" s="63">
        <f>2.7882 * CHOOSE(CONTROL!$C$22, $C$13, 100%, $E$13)</f>
        <v>2.7881999999999998</v>
      </c>
      <c r="E45" s="64">
        <f>3.633 * CHOOSE(CONTROL!$C$22, $C$13, 100%, $E$13)</f>
        <v>3.633</v>
      </c>
      <c r="F45" s="64">
        <f>3.633 * CHOOSE(CONTROL!$C$22, $C$13, 100%, $E$13)</f>
        <v>3.633</v>
      </c>
      <c r="G45" s="64">
        <f>3.6332 * CHOOSE(CONTROL!$C$22, $C$13, 100%, $E$13)</f>
        <v>3.6332</v>
      </c>
      <c r="H45" s="64">
        <f>5.9871* CHOOSE(CONTROL!$C$22, $C$13, 100%, $E$13)</f>
        <v>5.9870999999999999</v>
      </c>
      <c r="I45" s="64">
        <f>5.9872 * CHOOSE(CONTROL!$C$22, $C$13, 100%, $E$13)</f>
        <v>5.9871999999999996</v>
      </c>
      <c r="J45" s="64">
        <f>3.633 * CHOOSE(CONTROL!$C$22, $C$13, 100%, $E$13)</f>
        <v>3.633</v>
      </c>
      <c r="K45" s="64">
        <f>3.6332 * CHOOSE(CONTROL!$C$22, $C$13, 100%, $E$13)</f>
        <v>3.6332</v>
      </c>
      <c r="L45" s="4"/>
      <c r="M45" s="4"/>
      <c r="N45" s="4"/>
    </row>
    <row r="46" spans="1:14" ht="15">
      <c r="A46" s="13">
        <v>43040</v>
      </c>
      <c r="B46" s="63">
        <f>2.7713 * CHOOSE(CONTROL!$C$22, $C$13, 100%, $E$13)</f>
        <v>2.7713000000000001</v>
      </c>
      <c r="C46" s="63">
        <f>2.7713 * CHOOSE(CONTROL!$C$22, $C$13, 100%, $E$13)</f>
        <v>2.7713000000000001</v>
      </c>
      <c r="D46" s="63">
        <f>2.7912 * CHOOSE(CONTROL!$C$22, $C$13, 100%, $E$13)</f>
        <v>2.7911999999999999</v>
      </c>
      <c r="E46" s="64">
        <f>3.633 * CHOOSE(CONTROL!$C$22, $C$13, 100%, $E$13)</f>
        <v>3.633</v>
      </c>
      <c r="F46" s="64">
        <f>3.633 * CHOOSE(CONTROL!$C$22, $C$13, 100%, $E$13)</f>
        <v>3.633</v>
      </c>
      <c r="G46" s="64">
        <f>3.6332 * CHOOSE(CONTROL!$C$22, $C$13, 100%, $E$13)</f>
        <v>3.6332</v>
      </c>
      <c r="H46" s="64">
        <f>5.9995* CHOOSE(CONTROL!$C$22, $C$13, 100%, $E$13)</f>
        <v>5.9995000000000003</v>
      </c>
      <c r="I46" s="64">
        <f>5.9997 * CHOOSE(CONTROL!$C$22, $C$13, 100%, $E$13)</f>
        <v>5.9996999999999998</v>
      </c>
      <c r="J46" s="64">
        <f>3.633 * CHOOSE(CONTROL!$C$22, $C$13, 100%, $E$13)</f>
        <v>3.633</v>
      </c>
      <c r="K46" s="64">
        <f>3.6332 * CHOOSE(CONTROL!$C$22, $C$13, 100%, $E$13)</f>
        <v>3.6332</v>
      </c>
      <c r="L46" s="4"/>
      <c r="M46" s="4"/>
      <c r="N46" s="4"/>
    </row>
    <row r="47" spans="1:14" ht="15">
      <c r="A47" s="13">
        <v>43070</v>
      </c>
      <c r="B47" s="63">
        <f>2.7743 * CHOOSE(CONTROL!$C$22, $C$13, 100%, $E$13)</f>
        <v>2.7743000000000002</v>
      </c>
      <c r="C47" s="63">
        <f>2.7743 * CHOOSE(CONTROL!$C$22, $C$13, 100%, $E$13)</f>
        <v>2.7743000000000002</v>
      </c>
      <c r="D47" s="63">
        <f>2.7943 * CHOOSE(CONTROL!$C$22, $C$13, 100%, $E$13)</f>
        <v>2.7942999999999998</v>
      </c>
      <c r="E47" s="64">
        <f>3.633 * CHOOSE(CONTROL!$C$22, $C$13, 100%, $E$13)</f>
        <v>3.633</v>
      </c>
      <c r="F47" s="64">
        <f>3.633 * CHOOSE(CONTROL!$C$22, $C$13, 100%, $E$13)</f>
        <v>3.633</v>
      </c>
      <c r="G47" s="64">
        <f>3.6332 * CHOOSE(CONTROL!$C$22, $C$13, 100%, $E$13)</f>
        <v>3.6332</v>
      </c>
      <c r="H47" s="64">
        <f>6.012* CHOOSE(CONTROL!$C$22, $C$13, 100%, $E$13)</f>
        <v>6.0119999999999996</v>
      </c>
      <c r="I47" s="64">
        <f>6.0122 * CHOOSE(CONTROL!$C$22, $C$13, 100%, $E$13)</f>
        <v>6.0122</v>
      </c>
      <c r="J47" s="64">
        <f>3.633 * CHOOSE(CONTROL!$C$22, $C$13, 100%, $E$13)</f>
        <v>3.633</v>
      </c>
      <c r="K47" s="64">
        <f>3.6332 * CHOOSE(CONTROL!$C$22, $C$13, 100%, $E$13)</f>
        <v>3.6332</v>
      </c>
      <c r="L47" s="4"/>
      <c r="M47" s="4"/>
      <c r="N47" s="4"/>
    </row>
    <row r="48" spans="1:14" ht="15">
      <c r="A48" s="13">
        <v>43101</v>
      </c>
      <c r="B48" s="63">
        <f>2.8174 * CHOOSE(CONTROL!$C$22, $C$13, 100%, $E$13)</f>
        <v>2.8174000000000001</v>
      </c>
      <c r="C48" s="63">
        <f>2.8174 * CHOOSE(CONTROL!$C$22, $C$13, 100%, $E$13)</f>
        <v>2.8174000000000001</v>
      </c>
      <c r="D48" s="63">
        <f>2.8374 * CHOOSE(CONTROL!$C$22, $C$13, 100%, $E$13)</f>
        <v>2.8374000000000001</v>
      </c>
      <c r="E48" s="64">
        <f>3.2609 * CHOOSE(CONTROL!$C$22, $C$13, 100%, $E$13)</f>
        <v>3.2608999999999999</v>
      </c>
      <c r="F48" s="64">
        <f>3.2609 * CHOOSE(CONTROL!$C$22, $C$13, 100%, $E$13)</f>
        <v>3.2608999999999999</v>
      </c>
      <c r="G48" s="64">
        <f>3.261 * CHOOSE(CONTROL!$C$22, $C$13, 100%, $E$13)</f>
        <v>3.2610000000000001</v>
      </c>
      <c r="H48" s="64">
        <f>6.0246* CHOOSE(CONTROL!$C$22, $C$13, 100%, $E$13)</f>
        <v>6.0246000000000004</v>
      </c>
      <c r="I48" s="64">
        <f>6.0247 * CHOOSE(CONTROL!$C$22, $C$13, 100%, $E$13)</f>
        <v>6.0247000000000002</v>
      </c>
      <c r="J48" s="64">
        <f>3.2609 * CHOOSE(CONTROL!$C$22, $C$13, 100%, $E$13)</f>
        <v>3.2608999999999999</v>
      </c>
      <c r="K48" s="64">
        <f>3.261 * CHOOSE(CONTROL!$C$22, $C$13, 100%, $E$13)</f>
        <v>3.2610000000000001</v>
      </c>
      <c r="L48" s="4"/>
      <c r="M48" s="4"/>
      <c r="N48" s="4"/>
    </row>
    <row r="49" spans="1:14" ht="15">
      <c r="A49" s="13">
        <v>43132</v>
      </c>
      <c r="B49" s="63">
        <f>2.8144 * CHOOSE(CONTROL!$C$22, $C$13, 100%, $E$13)</f>
        <v>2.8144</v>
      </c>
      <c r="C49" s="63">
        <f>2.8144 * CHOOSE(CONTROL!$C$22, $C$13, 100%, $E$13)</f>
        <v>2.8144</v>
      </c>
      <c r="D49" s="63">
        <f>2.8343 * CHOOSE(CONTROL!$C$22, $C$13, 100%, $E$13)</f>
        <v>2.8342999999999998</v>
      </c>
      <c r="E49" s="64">
        <f>3.2349 * CHOOSE(CONTROL!$C$22, $C$13, 100%, $E$13)</f>
        <v>3.2349000000000001</v>
      </c>
      <c r="F49" s="64">
        <f>3.2349 * CHOOSE(CONTROL!$C$22, $C$13, 100%, $E$13)</f>
        <v>3.2349000000000001</v>
      </c>
      <c r="G49" s="64">
        <f>3.2351 * CHOOSE(CONTROL!$C$22, $C$13, 100%, $E$13)</f>
        <v>3.2351000000000001</v>
      </c>
      <c r="H49" s="64">
        <f>6.0371* CHOOSE(CONTROL!$C$22, $C$13, 100%, $E$13)</f>
        <v>6.0370999999999997</v>
      </c>
      <c r="I49" s="64">
        <f>6.0373 * CHOOSE(CONTROL!$C$22, $C$13, 100%, $E$13)</f>
        <v>6.0373000000000001</v>
      </c>
      <c r="J49" s="64">
        <f>3.2349 * CHOOSE(CONTROL!$C$22, $C$13, 100%, $E$13)</f>
        <v>3.2349000000000001</v>
      </c>
      <c r="K49" s="64">
        <f>3.2351 * CHOOSE(CONTROL!$C$22, $C$13, 100%, $E$13)</f>
        <v>3.2351000000000001</v>
      </c>
      <c r="L49" s="4"/>
      <c r="M49" s="4"/>
      <c r="N49" s="4"/>
    </row>
    <row r="50" spans="1:14" ht="15">
      <c r="A50" s="13">
        <v>43160</v>
      </c>
      <c r="B50" s="63">
        <f>2.8113 * CHOOSE(CONTROL!$C$22, $C$13, 100%, $E$13)</f>
        <v>2.8113000000000001</v>
      </c>
      <c r="C50" s="63">
        <f>2.8113 * CHOOSE(CONTROL!$C$22, $C$13, 100%, $E$13)</f>
        <v>2.8113000000000001</v>
      </c>
      <c r="D50" s="63">
        <f>2.8313 * CHOOSE(CONTROL!$C$22, $C$13, 100%, $E$13)</f>
        <v>2.8313000000000001</v>
      </c>
      <c r="E50" s="64">
        <f>3.2516 * CHOOSE(CONTROL!$C$22, $C$13, 100%, $E$13)</f>
        <v>3.2515999999999998</v>
      </c>
      <c r="F50" s="64">
        <f>3.2516 * CHOOSE(CONTROL!$C$22, $C$13, 100%, $E$13)</f>
        <v>3.2515999999999998</v>
      </c>
      <c r="G50" s="64">
        <f>3.2518 * CHOOSE(CONTROL!$C$22, $C$13, 100%, $E$13)</f>
        <v>3.2517999999999998</v>
      </c>
      <c r="H50" s="64">
        <f>6.0497* CHOOSE(CONTROL!$C$22, $C$13, 100%, $E$13)</f>
        <v>6.0496999999999996</v>
      </c>
      <c r="I50" s="64">
        <f>6.0499 * CHOOSE(CONTROL!$C$22, $C$13, 100%, $E$13)</f>
        <v>6.0499000000000001</v>
      </c>
      <c r="J50" s="64">
        <f>3.2516 * CHOOSE(CONTROL!$C$22, $C$13, 100%, $E$13)</f>
        <v>3.2515999999999998</v>
      </c>
      <c r="K50" s="64">
        <f>3.2518 * CHOOSE(CONTROL!$C$22, $C$13, 100%, $E$13)</f>
        <v>3.2517999999999998</v>
      </c>
      <c r="L50" s="4"/>
      <c r="M50" s="4"/>
      <c r="N50" s="4"/>
    </row>
    <row r="51" spans="1:14" ht="15">
      <c r="A51" s="13">
        <v>43191</v>
      </c>
      <c r="B51" s="63">
        <f>2.8078 * CHOOSE(CONTROL!$C$22, $C$13, 100%, $E$13)</f>
        <v>2.8077999999999999</v>
      </c>
      <c r="C51" s="63">
        <f>2.8078 * CHOOSE(CONTROL!$C$22, $C$13, 100%, $E$13)</f>
        <v>2.8077999999999999</v>
      </c>
      <c r="D51" s="63">
        <f>2.8278 * CHOOSE(CONTROL!$C$22, $C$13, 100%, $E$13)</f>
        <v>2.8277999999999999</v>
      </c>
      <c r="E51" s="64">
        <f>3.2675 * CHOOSE(CONTROL!$C$22, $C$13, 100%, $E$13)</f>
        <v>3.2675000000000001</v>
      </c>
      <c r="F51" s="64">
        <f>3.2675 * CHOOSE(CONTROL!$C$22, $C$13, 100%, $E$13)</f>
        <v>3.2675000000000001</v>
      </c>
      <c r="G51" s="64">
        <f>3.2677 * CHOOSE(CONTROL!$C$22, $C$13, 100%, $E$13)</f>
        <v>3.2677</v>
      </c>
      <c r="H51" s="64">
        <f>6.0623* CHOOSE(CONTROL!$C$22, $C$13, 100%, $E$13)</f>
        <v>6.0622999999999996</v>
      </c>
      <c r="I51" s="64">
        <f>6.0625 * CHOOSE(CONTROL!$C$22, $C$13, 100%, $E$13)</f>
        <v>6.0625</v>
      </c>
      <c r="J51" s="64">
        <f>3.2675 * CHOOSE(CONTROL!$C$22, $C$13, 100%, $E$13)</f>
        <v>3.2675000000000001</v>
      </c>
      <c r="K51" s="64">
        <f>3.2677 * CHOOSE(CONTROL!$C$22, $C$13, 100%, $E$13)</f>
        <v>3.2677</v>
      </c>
      <c r="L51" s="4"/>
      <c r="M51" s="4"/>
      <c r="N51" s="4"/>
    </row>
    <row r="52" spans="1:14" ht="15">
      <c r="A52" s="13">
        <v>43221</v>
      </c>
      <c r="B52" s="63">
        <f>2.8078 * CHOOSE(CONTROL!$C$22, $C$13, 100%, $E$13)</f>
        <v>2.8077999999999999</v>
      </c>
      <c r="C52" s="63">
        <f>2.8078 * CHOOSE(CONTROL!$C$22, $C$13, 100%, $E$13)</f>
        <v>2.8077999999999999</v>
      </c>
      <c r="D52" s="63">
        <f>2.8478 * CHOOSE(CONTROL!$C$22, $C$13, 100%, $E$13)</f>
        <v>2.8477999999999999</v>
      </c>
      <c r="E52" s="64">
        <f>3.2751 * CHOOSE(CONTROL!$C$22, $C$13, 100%, $E$13)</f>
        <v>3.2751000000000001</v>
      </c>
      <c r="F52" s="64">
        <f>3.2751 * CHOOSE(CONTROL!$C$22, $C$13, 100%, $E$13)</f>
        <v>3.2751000000000001</v>
      </c>
      <c r="G52" s="64">
        <f>3.2775 * CHOOSE(CONTROL!$C$22, $C$13, 100%, $E$13)</f>
        <v>3.2774999999999999</v>
      </c>
      <c r="H52" s="64">
        <f>6.0749* CHOOSE(CONTROL!$C$22, $C$13, 100%, $E$13)</f>
        <v>6.0749000000000004</v>
      </c>
      <c r="I52" s="64">
        <f>6.0774 * CHOOSE(CONTROL!$C$22, $C$13, 100%, $E$13)</f>
        <v>6.0773999999999999</v>
      </c>
      <c r="J52" s="64">
        <f>3.2751 * CHOOSE(CONTROL!$C$22, $C$13, 100%, $E$13)</f>
        <v>3.2751000000000001</v>
      </c>
      <c r="K52" s="64">
        <f>3.2775 * CHOOSE(CONTROL!$C$22, $C$13, 100%, $E$13)</f>
        <v>3.2774999999999999</v>
      </c>
      <c r="L52" s="4"/>
      <c r="M52" s="4"/>
      <c r="N52" s="4"/>
    </row>
    <row r="53" spans="1:14" ht="15">
      <c r="A53" s="13">
        <v>43252</v>
      </c>
      <c r="B53" s="63">
        <f>2.8139 * CHOOSE(CONTROL!$C$22, $C$13, 100%, $E$13)</f>
        <v>2.8138999999999998</v>
      </c>
      <c r="C53" s="63">
        <f>2.8139 * CHOOSE(CONTROL!$C$22, $C$13, 100%, $E$13)</f>
        <v>2.8138999999999998</v>
      </c>
      <c r="D53" s="63">
        <f>2.8539 * CHOOSE(CONTROL!$C$22, $C$13, 100%, $E$13)</f>
        <v>2.8538999999999999</v>
      </c>
      <c r="E53" s="64">
        <f>3.2718 * CHOOSE(CONTROL!$C$22, $C$13, 100%, $E$13)</f>
        <v>3.2717999999999998</v>
      </c>
      <c r="F53" s="64">
        <f>3.2718 * CHOOSE(CONTROL!$C$22, $C$13, 100%, $E$13)</f>
        <v>3.2717999999999998</v>
      </c>
      <c r="G53" s="64">
        <f>3.2742 * CHOOSE(CONTROL!$C$22, $C$13, 100%, $E$13)</f>
        <v>3.2742</v>
      </c>
      <c r="H53" s="64">
        <f>6.0876* CHOOSE(CONTROL!$C$22, $C$13, 100%, $E$13)</f>
        <v>6.0876000000000001</v>
      </c>
      <c r="I53" s="64">
        <f>6.09 * CHOOSE(CONTROL!$C$22, $C$13, 100%, $E$13)</f>
        <v>6.09</v>
      </c>
      <c r="J53" s="64">
        <f>3.2718 * CHOOSE(CONTROL!$C$22, $C$13, 100%, $E$13)</f>
        <v>3.2717999999999998</v>
      </c>
      <c r="K53" s="64">
        <f>3.2742 * CHOOSE(CONTROL!$C$22, $C$13, 100%, $E$13)</f>
        <v>3.2742</v>
      </c>
      <c r="L53" s="4"/>
      <c r="M53" s="4"/>
      <c r="N53" s="4"/>
    </row>
    <row r="54" spans="1:14" ht="15">
      <c r="A54" s="13">
        <v>43282</v>
      </c>
      <c r="B54" s="63">
        <f>2.8974 * CHOOSE(CONTROL!$C$22, $C$13, 100%, $E$13)</f>
        <v>2.8974000000000002</v>
      </c>
      <c r="C54" s="63">
        <f>2.8974 * CHOOSE(CONTROL!$C$22, $C$13, 100%, $E$13)</f>
        <v>2.8974000000000002</v>
      </c>
      <c r="D54" s="63">
        <f>2.9373 * CHOOSE(CONTROL!$C$22, $C$13, 100%, $E$13)</f>
        <v>2.9373</v>
      </c>
      <c r="E54" s="64">
        <f>3.459 * CHOOSE(CONTROL!$C$22, $C$13, 100%, $E$13)</f>
        <v>3.4590000000000001</v>
      </c>
      <c r="F54" s="64">
        <f>3.459 * CHOOSE(CONTROL!$C$22, $C$13, 100%, $E$13)</f>
        <v>3.4590000000000001</v>
      </c>
      <c r="G54" s="64">
        <f>3.4614 * CHOOSE(CONTROL!$C$22, $C$13, 100%, $E$13)</f>
        <v>3.4613999999999998</v>
      </c>
      <c r="H54" s="64">
        <f>6.1003* CHOOSE(CONTROL!$C$22, $C$13, 100%, $E$13)</f>
        <v>6.1002999999999998</v>
      </c>
      <c r="I54" s="64">
        <f>6.1027 * CHOOSE(CONTROL!$C$22, $C$13, 100%, $E$13)</f>
        <v>6.1026999999999996</v>
      </c>
      <c r="J54" s="64">
        <f>3.459 * CHOOSE(CONTROL!$C$22, $C$13, 100%, $E$13)</f>
        <v>3.4590000000000001</v>
      </c>
      <c r="K54" s="64">
        <f>3.4614 * CHOOSE(CONTROL!$C$22, $C$13, 100%, $E$13)</f>
        <v>3.4613999999999998</v>
      </c>
      <c r="L54" s="4"/>
      <c r="M54" s="4"/>
      <c r="N54" s="4"/>
    </row>
    <row r="55" spans="1:14" ht="15">
      <c r="A55" s="13">
        <v>43313</v>
      </c>
      <c r="B55" s="63">
        <f>2.904 * CHOOSE(CONTROL!$C$22, $C$13, 100%, $E$13)</f>
        <v>2.9039999999999999</v>
      </c>
      <c r="C55" s="63">
        <f>2.904 * CHOOSE(CONTROL!$C$22, $C$13, 100%, $E$13)</f>
        <v>2.9039999999999999</v>
      </c>
      <c r="D55" s="63">
        <f>2.944 * CHOOSE(CONTROL!$C$22, $C$13, 100%, $E$13)</f>
        <v>2.944</v>
      </c>
      <c r="E55" s="64">
        <f>3.4409 * CHOOSE(CONTROL!$C$22, $C$13, 100%, $E$13)</f>
        <v>3.4409000000000001</v>
      </c>
      <c r="F55" s="64">
        <f>3.4409 * CHOOSE(CONTROL!$C$22, $C$13, 100%, $E$13)</f>
        <v>3.4409000000000001</v>
      </c>
      <c r="G55" s="64">
        <f>3.4434 * CHOOSE(CONTROL!$C$22, $C$13, 100%, $E$13)</f>
        <v>3.4434</v>
      </c>
      <c r="H55" s="64">
        <f>6.113* CHOOSE(CONTROL!$C$22, $C$13, 100%, $E$13)</f>
        <v>6.1130000000000004</v>
      </c>
      <c r="I55" s="64">
        <f>6.1154 * CHOOSE(CONTROL!$C$22, $C$13, 100%, $E$13)</f>
        <v>6.1154000000000002</v>
      </c>
      <c r="J55" s="64">
        <f>3.4409 * CHOOSE(CONTROL!$C$22, $C$13, 100%, $E$13)</f>
        <v>3.4409000000000001</v>
      </c>
      <c r="K55" s="64">
        <f>3.4434 * CHOOSE(CONTROL!$C$22, $C$13, 100%, $E$13)</f>
        <v>3.4434</v>
      </c>
      <c r="L55" s="4"/>
      <c r="M55" s="4"/>
      <c r="N55" s="4"/>
    </row>
    <row r="56" spans="1:14" ht="15">
      <c r="A56" s="13">
        <v>43344</v>
      </c>
      <c r="B56" s="63">
        <f>2.901 * CHOOSE(CONTROL!$C$22, $C$13, 100%, $E$13)</f>
        <v>2.9009999999999998</v>
      </c>
      <c r="C56" s="63">
        <f>2.901 * CHOOSE(CONTROL!$C$22, $C$13, 100%, $E$13)</f>
        <v>2.9009999999999998</v>
      </c>
      <c r="D56" s="63">
        <f>2.9409 * CHOOSE(CONTROL!$C$22, $C$13, 100%, $E$13)</f>
        <v>2.9409000000000001</v>
      </c>
      <c r="E56" s="64">
        <f>3.4363 * CHOOSE(CONTROL!$C$22, $C$13, 100%, $E$13)</f>
        <v>3.4363000000000001</v>
      </c>
      <c r="F56" s="64">
        <f>3.4363 * CHOOSE(CONTROL!$C$22, $C$13, 100%, $E$13)</f>
        <v>3.4363000000000001</v>
      </c>
      <c r="G56" s="64">
        <f>3.4387 * CHOOSE(CONTROL!$C$22, $C$13, 100%, $E$13)</f>
        <v>3.4386999999999999</v>
      </c>
      <c r="H56" s="64">
        <f>6.1257* CHOOSE(CONTROL!$C$22, $C$13, 100%, $E$13)</f>
        <v>6.1257000000000001</v>
      </c>
      <c r="I56" s="64">
        <f>6.1282 * CHOOSE(CONTROL!$C$22, $C$13, 100%, $E$13)</f>
        <v>6.1281999999999996</v>
      </c>
      <c r="J56" s="64">
        <f>3.4363 * CHOOSE(CONTROL!$C$22, $C$13, 100%, $E$13)</f>
        <v>3.4363000000000001</v>
      </c>
      <c r="K56" s="64">
        <f>3.4387 * CHOOSE(CONTROL!$C$22, $C$13, 100%, $E$13)</f>
        <v>3.4386999999999999</v>
      </c>
      <c r="L56" s="4"/>
      <c r="M56" s="4"/>
      <c r="N56" s="4"/>
    </row>
    <row r="57" spans="1:14" ht="15">
      <c r="A57" s="13">
        <v>43374</v>
      </c>
      <c r="B57" s="63">
        <f>2.8921 * CHOOSE(CONTROL!$C$22, $C$13, 100%, $E$13)</f>
        <v>2.8921000000000001</v>
      </c>
      <c r="C57" s="63">
        <f>2.8921 * CHOOSE(CONTROL!$C$22, $C$13, 100%, $E$13)</f>
        <v>2.8921000000000001</v>
      </c>
      <c r="D57" s="63">
        <f>2.9121 * CHOOSE(CONTROL!$C$22, $C$13, 100%, $E$13)</f>
        <v>2.9121000000000001</v>
      </c>
      <c r="E57" s="64">
        <f>3.433 * CHOOSE(CONTROL!$C$22, $C$13, 100%, $E$13)</f>
        <v>3.4329999999999998</v>
      </c>
      <c r="F57" s="64">
        <f>3.433 * CHOOSE(CONTROL!$C$22, $C$13, 100%, $E$13)</f>
        <v>3.4329999999999998</v>
      </c>
      <c r="G57" s="64">
        <f>3.4331 * CHOOSE(CONTROL!$C$22, $C$13, 100%, $E$13)</f>
        <v>3.4331</v>
      </c>
      <c r="H57" s="64">
        <f>6.1385* CHOOSE(CONTROL!$C$22, $C$13, 100%, $E$13)</f>
        <v>6.1384999999999996</v>
      </c>
      <c r="I57" s="64">
        <f>6.1386 * CHOOSE(CONTROL!$C$22, $C$13, 100%, $E$13)</f>
        <v>6.1386000000000003</v>
      </c>
      <c r="J57" s="64">
        <f>3.433 * CHOOSE(CONTROL!$C$22, $C$13, 100%, $E$13)</f>
        <v>3.4329999999999998</v>
      </c>
      <c r="K57" s="64">
        <f>3.4331 * CHOOSE(CONTROL!$C$22, $C$13, 100%, $E$13)</f>
        <v>3.4331</v>
      </c>
      <c r="L57" s="4"/>
      <c r="M57" s="4"/>
      <c r="N57" s="4"/>
    </row>
    <row r="58" spans="1:14" ht="15">
      <c r="A58" s="13">
        <v>43405</v>
      </c>
      <c r="B58" s="63">
        <f>2.8951 * CHOOSE(CONTROL!$C$22, $C$13, 100%, $E$13)</f>
        <v>2.8950999999999998</v>
      </c>
      <c r="C58" s="63">
        <f>2.8951 * CHOOSE(CONTROL!$C$22, $C$13, 100%, $E$13)</f>
        <v>2.8950999999999998</v>
      </c>
      <c r="D58" s="63">
        <f>2.9151 * CHOOSE(CONTROL!$C$22, $C$13, 100%, $E$13)</f>
        <v>2.9150999999999998</v>
      </c>
      <c r="E58" s="64">
        <f>3.4401 * CHOOSE(CONTROL!$C$22, $C$13, 100%, $E$13)</f>
        <v>3.4401000000000002</v>
      </c>
      <c r="F58" s="64">
        <f>3.4401 * CHOOSE(CONTROL!$C$22, $C$13, 100%, $E$13)</f>
        <v>3.4401000000000002</v>
      </c>
      <c r="G58" s="64">
        <f>3.4403 * CHOOSE(CONTROL!$C$22, $C$13, 100%, $E$13)</f>
        <v>3.4403000000000001</v>
      </c>
      <c r="H58" s="64">
        <f>6.1513* CHOOSE(CONTROL!$C$22, $C$13, 100%, $E$13)</f>
        <v>6.1513</v>
      </c>
      <c r="I58" s="64">
        <f>6.1514 * CHOOSE(CONTROL!$C$22, $C$13, 100%, $E$13)</f>
        <v>6.1513999999999998</v>
      </c>
      <c r="J58" s="64">
        <f>3.4401 * CHOOSE(CONTROL!$C$22, $C$13, 100%, $E$13)</f>
        <v>3.4401000000000002</v>
      </c>
      <c r="K58" s="64">
        <f>3.4403 * CHOOSE(CONTROL!$C$22, $C$13, 100%, $E$13)</f>
        <v>3.4403000000000001</v>
      </c>
      <c r="L58" s="4"/>
      <c r="M58" s="4"/>
      <c r="N58" s="4"/>
    </row>
    <row r="59" spans="1:14" ht="15">
      <c r="A59" s="13">
        <v>43435</v>
      </c>
      <c r="B59" s="63">
        <f>2.8951 * CHOOSE(CONTROL!$C$22, $C$13, 100%, $E$13)</f>
        <v>2.8950999999999998</v>
      </c>
      <c r="C59" s="63">
        <f>2.8951 * CHOOSE(CONTROL!$C$22, $C$13, 100%, $E$13)</f>
        <v>2.8950999999999998</v>
      </c>
      <c r="D59" s="63">
        <f>2.9151 * CHOOSE(CONTROL!$C$22, $C$13, 100%, $E$13)</f>
        <v>2.9150999999999998</v>
      </c>
      <c r="E59" s="64">
        <f>3.4275 * CHOOSE(CONTROL!$C$22, $C$13, 100%, $E$13)</f>
        <v>3.4275000000000002</v>
      </c>
      <c r="F59" s="64">
        <f>3.4275 * CHOOSE(CONTROL!$C$22, $C$13, 100%, $E$13)</f>
        <v>3.4275000000000002</v>
      </c>
      <c r="G59" s="64">
        <f>3.4277 * CHOOSE(CONTROL!$C$22, $C$13, 100%, $E$13)</f>
        <v>3.4277000000000002</v>
      </c>
      <c r="H59" s="64">
        <f>6.1641* CHOOSE(CONTROL!$C$22, $C$13, 100%, $E$13)</f>
        <v>6.1641000000000004</v>
      </c>
      <c r="I59" s="64">
        <f>6.1643 * CHOOSE(CONTROL!$C$22, $C$13, 100%, $E$13)</f>
        <v>6.1642999999999999</v>
      </c>
      <c r="J59" s="64">
        <f>3.4275 * CHOOSE(CONTROL!$C$22, $C$13, 100%, $E$13)</f>
        <v>3.4275000000000002</v>
      </c>
      <c r="K59" s="64">
        <f>3.4277 * CHOOSE(CONTROL!$C$22, $C$13, 100%, $E$13)</f>
        <v>3.4277000000000002</v>
      </c>
      <c r="L59" s="4"/>
      <c r="M59" s="4"/>
      <c r="N59" s="4"/>
    </row>
    <row r="60" spans="1:14" ht="15">
      <c r="A60" s="13">
        <v>43466</v>
      </c>
      <c r="B60" s="63">
        <f>2.9246 * CHOOSE(CONTROL!$C$22, $C$13, 100%, $E$13)</f>
        <v>2.9245999999999999</v>
      </c>
      <c r="C60" s="63">
        <f>2.9246 * CHOOSE(CONTROL!$C$22, $C$13, 100%, $E$13)</f>
        <v>2.9245999999999999</v>
      </c>
      <c r="D60" s="63">
        <f>2.9446 * CHOOSE(CONTROL!$C$22, $C$13, 100%, $E$13)</f>
        <v>2.9445999999999999</v>
      </c>
      <c r="E60" s="64">
        <f>3.4699 * CHOOSE(CONTROL!$C$22, $C$13, 100%, $E$13)</f>
        <v>3.4699</v>
      </c>
      <c r="F60" s="64">
        <f>3.4699 * CHOOSE(CONTROL!$C$22, $C$13, 100%, $E$13)</f>
        <v>3.4699</v>
      </c>
      <c r="G60" s="64">
        <f>3.4701 * CHOOSE(CONTROL!$C$22, $C$13, 100%, $E$13)</f>
        <v>3.4701</v>
      </c>
      <c r="H60" s="64">
        <f>6.1769* CHOOSE(CONTROL!$C$22, $C$13, 100%, $E$13)</f>
        <v>6.1768999999999998</v>
      </c>
      <c r="I60" s="64">
        <f>6.1771 * CHOOSE(CONTROL!$C$22, $C$13, 100%, $E$13)</f>
        <v>6.1771000000000003</v>
      </c>
      <c r="J60" s="64">
        <f>3.4699 * CHOOSE(CONTROL!$C$22, $C$13, 100%, $E$13)</f>
        <v>3.4699</v>
      </c>
      <c r="K60" s="64">
        <f>3.4701 * CHOOSE(CONTROL!$C$22, $C$13, 100%, $E$13)</f>
        <v>3.4701</v>
      </c>
      <c r="L60" s="4"/>
      <c r="M60" s="4"/>
      <c r="N60" s="4"/>
    </row>
    <row r="61" spans="1:14" ht="15">
      <c r="A61" s="13">
        <v>43497</v>
      </c>
      <c r="B61" s="63">
        <f>2.9216 * CHOOSE(CONTROL!$C$22, $C$13, 100%, $E$13)</f>
        <v>2.9216000000000002</v>
      </c>
      <c r="C61" s="63">
        <f>2.9216 * CHOOSE(CONTROL!$C$22, $C$13, 100%, $E$13)</f>
        <v>2.9216000000000002</v>
      </c>
      <c r="D61" s="63">
        <f>2.9416 * CHOOSE(CONTROL!$C$22, $C$13, 100%, $E$13)</f>
        <v>2.9416000000000002</v>
      </c>
      <c r="E61" s="64">
        <f>3.4392 * CHOOSE(CONTROL!$C$22, $C$13, 100%, $E$13)</f>
        <v>3.4392</v>
      </c>
      <c r="F61" s="64">
        <f>3.4392 * CHOOSE(CONTROL!$C$22, $C$13, 100%, $E$13)</f>
        <v>3.4392</v>
      </c>
      <c r="G61" s="64">
        <f>3.4394 * CHOOSE(CONTROL!$C$22, $C$13, 100%, $E$13)</f>
        <v>3.4394</v>
      </c>
      <c r="H61" s="64">
        <f>6.1898* CHOOSE(CONTROL!$C$22, $C$13, 100%, $E$13)</f>
        <v>6.1898</v>
      </c>
      <c r="I61" s="64">
        <f>6.19 * CHOOSE(CONTROL!$C$22, $C$13, 100%, $E$13)</f>
        <v>6.19</v>
      </c>
      <c r="J61" s="64">
        <f>3.4392 * CHOOSE(CONTROL!$C$22, $C$13, 100%, $E$13)</f>
        <v>3.4392</v>
      </c>
      <c r="K61" s="64">
        <f>3.4394 * CHOOSE(CONTROL!$C$22, $C$13, 100%, $E$13)</f>
        <v>3.4394</v>
      </c>
      <c r="L61" s="4"/>
      <c r="M61" s="4"/>
      <c r="N61" s="4"/>
    </row>
    <row r="62" spans="1:14" ht="15">
      <c r="A62" s="13">
        <v>43525</v>
      </c>
      <c r="B62" s="63">
        <f>2.9185 * CHOOSE(CONTROL!$C$22, $C$13, 100%, $E$13)</f>
        <v>2.9184999999999999</v>
      </c>
      <c r="C62" s="63">
        <f>2.9185 * CHOOSE(CONTROL!$C$22, $C$13, 100%, $E$13)</f>
        <v>2.9184999999999999</v>
      </c>
      <c r="D62" s="63">
        <f>2.9385 * CHOOSE(CONTROL!$C$22, $C$13, 100%, $E$13)</f>
        <v>2.9384999999999999</v>
      </c>
      <c r="E62" s="64">
        <f>3.4596 * CHOOSE(CONTROL!$C$22, $C$13, 100%, $E$13)</f>
        <v>3.4596</v>
      </c>
      <c r="F62" s="64">
        <f>3.4596 * CHOOSE(CONTROL!$C$22, $C$13, 100%, $E$13)</f>
        <v>3.4596</v>
      </c>
      <c r="G62" s="64">
        <f>3.4598 * CHOOSE(CONTROL!$C$22, $C$13, 100%, $E$13)</f>
        <v>3.4598</v>
      </c>
      <c r="H62" s="64">
        <f>6.2027* CHOOSE(CONTROL!$C$22, $C$13, 100%, $E$13)</f>
        <v>6.2027000000000001</v>
      </c>
      <c r="I62" s="64">
        <f>6.2029 * CHOOSE(CONTROL!$C$22, $C$13, 100%, $E$13)</f>
        <v>6.2028999999999996</v>
      </c>
      <c r="J62" s="64">
        <f>3.4596 * CHOOSE(CONTROL!$C$22, $C$13, 100%, $E$13)</f>
        <v>3.4596</v>
      </c>
      <c r="K62" s="64">
        <f>3.4598 * CHOOSE(CONTROL!$C$22, $C$13, 100%, $E$13)</f>
        <v>3.4598</v>
      </c>
      <c r="L62" s="4"/>
      <c r="M62" s="4"/>
      <c r="N62" s="4"/>
    </row>
    <row r="63" spans="1:14" ht="15">
      <c r="A63" s="13">
        <v>43556</v>
      </c>
      <c r="B63" s="63">
        <f>2.9152 * CHOOSE(CONTROL!$C$22, $C$13, 100%, $E$13)</f>
        <v>2.9152</v>
      </c>
      <c r="C63" s="63">
        <f>2.9152 * CHOOSE(CONTROL!$C$22, $C$13, 100%, $E$13)</f>
        <v>2.9152</v>
      </c>
      <c r="D63" s="63">
        <f>2.9352 * CHOOSE(CONTROL!$C$22, $C$13, 100%, $E$13)</f>
        <v>2.9352</v>
      </c>
      <c r="E63" s="64">
        <f>3.4796 * CHOOSE(CONTROL!$C$22, $C$13, 100%, $E$13)</f>
        <v>3.4796</v>
      </c>
      <c r="F63" s="64">
        <f>3.4796 * CHOOSE(CONTROL!$C$22, $C$13, 100%, $E$13)</f>
        <v>3.4796</v>
      </c>
      <c r="G63" s="64">
        <f>3.4798 * CHOOSE(CONTROL!$C$22, $C$13, 100%, $E$13)</f>
        <v>3.4798</v>
      </c>
      <c r="H63" s="64">
        <f>6.2156* CHOOSE(CONTROL!$C$22, $C$13, 100%, $E$13)</f>
        <v>6.2156000000000002</v>
      </c>
      <c r="I63" s="64">
        <f>6.2158 * CHOOSE(CONTROL!$C$22, $C$13, 100%, $E$13)</f>
        <v>6.2157999999999998</v>
      </c>
      <c r="J63" s="64">
        <f>3.4796 * CHOOSE(CONTROL!$C$22, $C$13, 100%, $E$13)</f>
        <v>3.4796</v>
      </c>
      <c r="K63" s="64">
        <f>3.4798 * CHOOSE(CONTROL!$C$22, $C$13, 100%, $E$13)</f>
        <v>3.4798</v>
      </c>
      <c r="L63" s="4"/>
      <c r="M63" s="4"/>
      <c r="N63" s="4"/>
    </row>
    <row r="64" spans="1:14" ht="15">
      <c r="A64" s="13">
        <v>43586</v>
      </c>
      <c r="B64" s="63">
        <f>2.9152 * CHOOSE(CONTROL!$C$22, $C$13, 100%, $E$13)</f>
        <v>2.9152</v>
      </c>
      <c r="C64" s="63">
        <f>2.9152 * CHOOSE(CONTROL!$C$22, $C$13, 100%, $E$13)</f>
        <v>2.9152</v>
      </c>
      <c r="D64" s="63">
        <f>2.9551 * CHOOSE(CONTROL!$C$22, $C$13, 100%, $E$13)</f>
        <v>2.9550999999999998</v>
      </c>
      <c r="E64" s="64">
        <f>3.4887 * CHOOSE(CONTROL!$C$22, $C$13, 100%, $E$13)</f>
        <v>3.4887000000000001</v>
      </c>
      <c r="F64" s="64">
        <f>3.4887 * CHOOSE(CONTROL!$C$22, $C$13, 100%, $E$13)</f>
        <v>3.4887000000000001</v>
      </c>
      <c r="G64" s="64">
        <f>3.4912 * CHOOSE(CONTROL!$C$22, $C$13, 100%, $E$13)</f>
        <v>3.4912000000000001</v>
      </c>
      <c r="H64" s="64">
        <f>6.2286* CHOOSE(CONTROL!$C$22, $C$13, 100%, $E$13)</f>
        <v>6.2286000000000001</v>
      </c>
      <c r="I64" s="64">
        <f>6.231 * CHOOSE(CONTROL!$C$22, $C$13, 100%, $E$13)</f>
        <v>6.2309999999999999</v>
      </c>
      <c r="J64" s="64">
        <f>3.4887 * CHOOSE(CONTROL!$C$22, $C$13, 100%, $E$13)</f>
        <v>3.4887000000000001</v>
      </c>
      <c r="K64" s="64">
        <f>3.4912 * CHOOSE(CONTROL!$C$22, $C$13, 100%, $E$13)</f>
        <v>3.4912000000000001</v>
      </c>
      <c r="L64" s="4"/>
      <c r="M64" s="4"/>
      <c r="N64" s="4"/>
    </row>
    <row r="65" spans="1:14" ht="15">
      <c r="A65" s="13">
        <v>43617</v>
      </c>
      <c r="B65" s="63">
        <f>2.9213 * CHOOSE(CONTROL!$C$22, $C$13, 100%, $E$13)</f>
        <v>2.9213</v>
      </c>
      <c r="C65" s="63">
        <f>2.9213 * CHOOSE(CONTROL!$C$22, $C$13, 100%, $E$13)</f>
        <v>2.9213</v>
      </c>
      <c r="D65" s="63">
        <f>2.9612 * CHOOSE(CONTROL!$C$22, $C$13, 100%, $E$13)</f>
        <v>2.9611999999999998</v>
      </c>
      <c r="E65" s="64">
        <f>3.4839 * CHOOSE(CONTROL!$C$22, $C$13, 100%, $E$13)</f>
        <v>3.4839000000000002</v>
      </c>
      <c r="F65" s="64">
        <f>3.4839 * CHOOSE(CONTROL!$C$22, $C$13, 100%, $E$13)</f>
        <v>3.4839000000000002</v>
      </c>
      <c r="G65" s="64">
        <f>3.4863 * CHOOSE(CONTROL!$C$22, $C$13, 100%, $E$13)</f>
        <v>3.4863</v>
      </c>
      <c r="H65" s="64">
        <f>6.2415* CHOOSE(CONTROL!$C$22, $C$13, 100%, $E$13)</f>
        <v>6.2415000000000003</v>
      </c>
      <c r="I65" s="64">
        <f>6.244 * CHOOSE(CONTROL!$C$22, $C$13, 100%, $E$13)</f>
        <v>6.2439999999999998</v>
      </c>
      <c r="J65" s="64">
        <f>3.4839 * CHOOSE(CONTROL!$C$22, $C$13, 100%, $E$13)</f>
        <v>3.4839000000000002</v>
      </c>
      <c r="K65" s="64">
        <f>3.4863 * CHOOSE(CONTROL!$C$22, $C$13, 100%, $E$13)</f>
        <v>3.4863</v>
      </c>
      <c r="L65" s="4"/>
      <c r="M65" s="4"/>
      <c r="N65" s="4"/>
    </row>
    <row r="66" spans="1:14" ht="15">
      <c r="A66" s="13">
        <v>43647</v>
      </c>
      <c r="B66" s="63">
        <f>2.9781 * CHOOSE(CONTROL!$C$22, $C$13, 100%, $E$13)</f>
        <v>2.9781</v>
      </c>
      <c r="C66" s="63">
        <f>2.9781 * CHOOSE(CONTROL!$C$22, $C$13, 100%, $E$13)</f>
        <v>2.9781</v>
      </c>
      <c r="D66" s="63">
        <f>3.0181 * CHOOSE(CONTROL!$C$22, $C$13, 100%, $E$13)</f>
        <v>3.0181</v>
      </c>
      <c r="E66" s="64">
        <f>3.4566 * CHOOSE(CONTROL!$C$22, $C$13, 100%, $E$13)</f>
        <v>3.4565999999999999</v>
      </c>
      <c r="F66" s="64">
        <f>3.4566 * CHOOSE(CONTROL!$C$22, $C$13, 100%, $E$13)</f>
        <v>3.4565999999999999</v>
      </c>
      <c r="G66" s="64">
        <f>3.4591 * CHOOSE(CONTROL!$C$22, $C$13, 100%, $E$13)</f>
        <v>3.4590999999999998</v>
      </c>
      <c r="H66" s="64">
        <f>6.2545* CHOOSE(CONTROL!$C$22, $C$13, 100%, $E$13)</f>
        <v>6.2545000000000002</v>
      </c>
      <c r="I66" s="64">
        <f>6.257 * CHOOSE(CONTROL!$C$22, $C$13, 100%, $E$13)</f>
        <v>6.2569999999999997</v>
      </c>
      <c r="J66" s="64">
        <f>3.4566 * CHOOSE(CONTROL!$C$22, $C$13, 100%, $E$13)</f>
        <v>3.4565999999999999</v>
      </c>
      <c r="K66" s="64">
        <f>3.4591 * CHOOSE(CONTROL!$C$22, $C$13, 100%, $E$13)</f>
        <v>3.4590999999999998</v>
      </c>
      <c r="L66" s="4"/>
      <c r="M66" s="4"/>
      <c r="N66" s="4"/>
    </row>
    <row r="67" spans="1:14" ht="15">
      <c r="A67" s="13">
        <v>43678</v>
      </c>
      <c r="B67" s="63">
        <f>2.9848 * CHOOSE(CONTROL!$C$22, $C$13, 100%, $E$13)</f>
        <v>2.9847999999999999</v>
      </c>
      <c r="C67" s="63">
        <f>2.9848 * CHOOSE(CONTROL!$C$22, $C$13, 100%, $E$13)</f>
        <v>2.9847999999999999</v>
      </c>
      <c r="D67" s="63">
        <f>3.0248 * CHOOSE(CONTROL!$C$22, $C$13, 100%, $E$13)</f>
        <v>3.0247999999999999</v>
      </c>
      <c r="E67" s="64">
        <f>3.434 * CHOOSE(CONTROL!$C$22, $C$13, 100%, $E$13)</f>
        <v>3.4340000000000002</v>
      </c>
      <c r="F67" s="64">
        <f>3.434 * CHOOSE(CONTROL!$C$22, $C$13, 100%, $E$13)</f>
        <v>3.4340000000000002</v>
      </c>
      <c r="G67" s="64">
        <f>3.4364 * CHOOSE(CONTROL!$C$22, $C$13, 100%, $E$13)</f>
        <v>3.4363999999999999</v>
      </c>
      <c r="H67" s="64">
        <f>6.2676* CHOOSE(CONTROL!$C$22, $C$13, 100%, $E$13)</f>
        <v>6.2675999999999998</v>
      </c>
      <c r="I67" s="64">
        <f>6.27 * CHOOSE(CONTROL!$C$22, $C$13, 100%, $E$13)</f>
        <v>6.27</v>
      </c>
      <c r="J67" s="64">
        <f>3.434 * CHOOSE(CONTROL!$C$22, $C$13, 100%, $E$13)</f>
        <v>3.4340000000000002</v>
      </c>
      <c r="K67" s="64">
        <f>3.4364 * CHOOSE(CONTROL!$C$22, $C$13, 100%, $E$13)</f>
        <v>3.4363999999999999</v>
      </c>
      <c r="L67" s="4"/>
      <c r="M67" s="4"/>
      <c r="N67" s="4"/>
    </row>
    <row r="68" spans="1:14" ht="15">
      <c r="A68" s="13">
        <v>43709</v>
      </c>
      <c r="B68" s="63">
        <f>2.9818 * CHOOSE(CONTROL!$C$22, $C$13, 100%, $E$13)</f>
        <v>2.9817999999999998</v>
      </c>
      <c r="C68" s="63">
        <f>2.9818 * CHOOSE(CONTROL!$C$22, $C$13, 100%, $E$13)</f>
        <v>2.9817999999999998</v>
      </c>
      <c r="D68" s="63">
        <f>3.0217 * CHOOSE(CONTROL!$C$22, $C$13, 100%, $E$13)</f>
        <v>3.0217000000000001</v>
      </c>
      <c r="E68" s="64">
        <f>3.4288 * CHOOSE(CONTROL!$C$22, $C$13, 100%, $E$13)</f>
        <v>3.4287999999999998</v>
      </c>
      <c r="F68" s="64">
        <f>3.4288 * CHOOSE(CONTROL!$C$22, $C$13, 100%, $E$13)</f>
        <v>3.4287999999999998</v>
      </c>
      <c r="G68" s="64">
        <f>3.4313 * CHOOSE(CONTROL!$C$22, $C$13, 100%, $E$13)</f>
        <v>3.4312999999999998</v>
      </c>
      <c r="H68" s="64">
        <f>6.2806* CHOOSE(CONTROL!$C$22, $C$13, 100%, $E$13)</f>
        <v>6.2805999999999997</v>
      </c>
      <c r="I68" s="64">
        <f>6.2831 * CHOOSE(CONTROL!$C$22, $C$13, 100%, $E$13)</f>
        <v>6.2831000000000001</v>
      </c>
      <c r="J68" s="64">
        <f>3.4288 * CHOOSE(CONTROL!$C$22, $C$13, 100%, $E$13)</f>
        <v>3.4287999999999998</v>
      </c>
      <c r="K68" s="64">
        <f>3.4313 * CHOOSE(CONTROL!$C$22, $C$13, 100%, $E$13)</f>
        <v>3.4312999999999998</v>
      </c>
      <c r="L68" s="4"/>
      <c r="M68" s="4"/>
      <c r="N68" s="4"/>
    </row>
    <row r="69" spans="1:14" ht="15">
      <c r="A69" s="13">
        <v>43739</v>
      </c>
      <c r="B69" s="63">
        <f>2.9731 * CHOOSE(CONTROL!$C$22, $C$13, 100%, $E$13)</f>
        <v>2.9731000000000001</v>
      </c>
      <c r="C69" s="63">
        <f>2.9731 * CHOOSE(CONTROL!$C$22, $C$13, 100%, $E$13)</f>
        <v>2.9731000000000001</v>
      </c>
      <c r="D69" s="63">
        <f>2.9931 * CHOOSE(CONTROL!$C$22, $C$13, 100%, $E$13)</f>
        <v>2.9931000000000001</v>
      </c>
      <c r="E69" s="64">
        <f>3.4275 * CHOOSE(CONTROL!$C$22, $C$13, 100%, $E$13)</f>
        <v>3.4275000000000002</v>
      </c>
      <c r="F69" s="64">
        <f>3.4275 * CHOOSE(CONTROL!$C$22, $C$13, 100%, $E$13)</f>
        <v>3.4275000000000002</v>
      </c>
      <c r="G69" s="64">
        <f>3.4277 * CHOOSE(CONTROL!$C$22, $C$13, 100%, $E$13)</f>
        <v>3.4277000000000002</v>
      </c>
      <c r="H69" s="64">
        <f>6.2937* CHOOSE(CONTROL!$C$22, $C$13, 100%, $E$13)</f>
        <v>6.2937000000000003</v>
      </c>
      <c r="I69" s="64">
        <f>6.2939 * CHOOSE(CONTROL!$C$22, $C$13, 100%, $E$13)</f>
        <v>6.2938999999999998</v>
      </c>
      <c r="J69" s="64">
        <f>3.4275 * CHOOSE(CONTROL!$C$22, $C$13, 100%, $E$13)</f>
        <v>3.4275000000000002</v>
      </c>
      <c r="K69" s="64">
        <f>3.4277 * CHOOSE(CONTROL!$C$22, $C$13, 100%, $E$13)</f>
        <v>3.4277000000000002</v>
      </c>
      <c r="L69" s="4"/>
      <c r="M69" s="4"/>
      <c r="N69" s="4"/>
    </row>
    <row r="70" spans="1:14" ht="15">
      <c r="A70" s="13">
        <v>43770</v>
      </c>
      <c r="B70" s="63">
        <f>2.9762 * CHOOSE(CONTROL!$C$22, $C$13, 100%, $E$13)</f>
        <v>2.9762</v>
      </c>
      <c r="C70" s="63">
        <f>2.9762 * CHOOSE(CONTROL!$C$22, $C$13, 100%, $E$13)</f>
        <v>2.9762</v>
      </c>
      <c r="D70" s="63">
        <f>2.9962 * CHOOSE(CONTROL!$C$22, $C$13, 100%, $E$13)</f>
        <v>2.9962</v>
      </c>
      <c r="E70" s="64">
        <f>3.4357 * CHOOSE(CONTROL!$C$22, $C$13, 100%, $E$13)</f>
        <v>3.4357000000000002</v>
      </c>
      <c r="F70" s="64">
        <f>3.4357 * CHOOSE(CONTROL!$C$22, $C$13, 100%, $E$13)</f>
        <v>3.4357000000000002</v>
      </c>
      <c r="G70" s="64">
        <f>3.4359 * CHOOSE(CONTROL!$C$22, $C$13, 100%, $E$13)</f>
        <v>3.4359000000000002</v>
      </c>
      <c r="H70" s="64">
        <f>6.3068* CHOOSE(CONTROL!$C$22, $C$13, 100%, $E$13)</f>
        <v>6.3068</v>
      </c>
      <c r="I70" s="64">
        <f>6.307 * CHOOSE(CONTROL!$C$22, $C$13, 100%, $E$13)</f>
        <v>6.3070000000000004</v>
      </c>
      <c r="J70" s="64">
        <f>3.4357 * CHOOSE(CONTROL!$C$22, $C$13, 100%, $E$13)</f>
        <v>3.4357000000000002</v>
      </c>
      <c r="K70" s="64">
        <f>3.4359 * CHOOSE(CONTROL!$C$22, $C$13, 100%, $E$13)</f>
        <v>3.4359000000000002</v>
      </c>
      <c r="L70" s="4"/>
      <c r="M70" s="4"/>
      <c r="N70" s="4"/>
    </row>
    <row r="71" spans="1:14" ht="15">
      <c r="A71" s="13">
        <v>43800</v>
      </c>
      <c r="B71" s="63">
        <f>2.9762 * CHOOSE(CONTROL!$C$22, $C$13, 100%, $E$13)</f>
        <v>2.9762</v>
      </c>
      <c r="C71" s="63">
        <f>2.9762 * CHOOSE(CONTROL!$C$22, $C$13, 100%, $E$13)</f>
        <v>2.9762</v>
      </c>
      <c r="D71" s="63">
        <f>2.9962 * CHOOSE(CONTROL!$C$22, $C$13, 100%, $E$13)</f>
        <v>2.9962</v>
      </c>
      <c r="E71" s="64">
        <f>3.4206 * CHOOSE(CONTROL!$C$22, $C$13, 100%, $E$13)</f>
        <v>3.4205999999999999</v>
      </c>
      <c r="F71" s="64">
        <f>3.4206 * CHOOSE(CONTROL!$C$22, $C$13, 100%, $E$13)</f>
        <v>3.4205999999999999</v>
      </c>
      <c r="G71" s="64">
        <f>3.4207 * CHOOSE(CONTROL!$C$22, $C$13, 100%, $E$13)</f>
        <v>3.4207000000000001</v>
      </c>
      <c r="H71" s="64">
        <f>6.32* CHOOSE(CONTROL!$C$22, $C$13, 100%, $E$13)</f>
        <v>6.32</v>
      </c>
      <c r="I71" s="64">
        <f>6.3201 * CHOOSE(CONTROL!$C$22, $C$13, 100%, $E$13)</f>
        <v>6.3201000000000001</v>
      </c>
      <c r="J71" s="64">
        <f>3.4206 * CHOOSE(CONTROL!$C$22, $C$13, 100%, $E$13)</f>
        <v>3.4205999999999999</v>
      </c>
      <c r="K71" s="64">
        <f>3.4207 * CHOOSE(CONTROL!$C$22, $C$13, 100%, $E$13)</f>
        <v>3.4207000000000001</v>
      </c>
      <c r="L71" s="4"/>
      <c r="M71" s="4"/>
      <c r="N71" s="4"/>
    </row>
    <row r="72" spans="1:14" ht="15">
      <c r="A72" s="13">
        <v>43831</v>
      </c>
      <c r="B72" s="63">
        <f>3.0034 * CHOOSE(CONTROL!$C$22, $C$13, 100%, $E$13)</f>
        <v>3.0034000000000001</v>
      </c>
      <c r="C72" s="63">
        <f>3.0034 * CHOOSE(CONTROL!$C$22, $C$13, 100%, $E$13)</f>
        <v>3.0034000000000001</v>
      </c>
      <c r="D72" s="63">
        <f>3.0233 * CHOOSE(CONTROL!$C$22, $C$13, 100%, $E$13)</f>
        <v>3.0232999999999999</v>
      </c>
      <c r="E72" s="64">
        <f>3.5343 * CHOOSE(CONTROL!$C$22, $C$13, 100%, $E$13)</f>
        <v>3.5343</v>
      </c>
      <c r="F72" s="64">
        <f>3.5343 * CHOOSE(CONTROL!$C$22, $C$13, 100%, $E$13)</f>
        <v>3.5343</v>
      </c>
      <c r="G72" s="64">
        <f>3.5345 * CHOOSE(CONTROL!$C$22, $C$13, 100%, $E$13)</f>
        <v>3.5345</v>
      </c>
      <c r="H72" s="64">
        <f>6.3331* CHOOSE(CONTROL!$C$22, $C$13, 100%, $E$13)</f>
        <v>6.3331</v>
      </c>
      <c r="I72" s="64">
        <f>6.3333 * CHOOSE(CONTROL!$C$22, $C$13, 100%, $E$13)</f>
        <v>6.3333000000000004</v>
      </c>
      <c r="J72" s="64">
        <f>3.5343 * CHOOSE(CONTROL!$C$22, $C$13, 100%, $E$13)</f>
        <v>3.5343</v>
      </c>
      <c r="K72" s="64">
        <f>3.5345 * CHOOSE(CONTROL!$C$22, $C$13, 100%, $E$13)</f>
        <v>3.5345</v>
      </c>
      <c r="L72" s="4"/>
      <c r="M72" s="4"/>
      <c r="N72" s="4"/>
    </row>
    <row r="73" spans="1:14" ht="15">
      <c r="A73" s="13">
        <v>43862</v>
      </c>
      <c r="B73" s="63">
        <f>3.0003 * CHOOSE(CONTROL!$C$22, $C$13, 100%, $E$13)</f>
        <v>3.0003000000000002</v>
      </c>
      <c r="C73" s="63">
        <f>3.0003 * CHOOSE(CONTROL!$C$22, $C$13, 100%, $E$13)</f>
        <v>3.0003000000000002</v>
      </c>
      <c r="D73" s="63">
        <f>3.0203 * CHOOSE(CONTROL!$C$22, $C$13, 100%, $E$13)</f>
        <v>3.0203000000000002</v>
      </c>
      <c r="E73" s="64">
        <f>3.4967 * CHOOSE(CONTROL!$C$22, $C$13, 100%, $E$13)</f>
        <v>3.4967000000000001</v>
      </c>
      <c r="F73" s="64">
        <f>3.4967 * CHOOSE(CONTROL!$C$22, $C$13, 100%, $E$13)</f>
        <v>3.4967000000000001</v>
      </c>
      <c r="G73" s="64">
        <f>3.4969 * CHOOSE(CONTROL!$C$22, $C$13, 100%, $E$13)</f>
        <v>3.4969000000000001</v>
      </c>
      <c r="H73" s="64">
        <f>6.3463* CHOOSE(CONTROL!$C$22, $C$13, 100%, $E$13)</f>
        <v>6.3463000000000003</v>
      </c>
      <c r="I73" s="64">
        <f>6.3465 * CHOOSE(CONTROL!$C$22, $C$13, 100%, $E$13)</f>
        <v>6.3464999999999998</v>
      </c>
      <c r="J73" s="64">
        <f>3.4967 * CHOOSE(CONTROL!$C$22, $C$13, 100%, $E$13)</f>
        <v>3.4967000000000001</v>
      </c>
      <c r="K73" s="64">
        <f>3.4969 * CHOOSE(CONTROL!$C$22, $C$13, 100%, $E$13)</f>
        <v>3.4969000000000001</v>
      </c>
      <c r="L73" s="4"/>
      <c r="M73" s="4"/>
      <c r="N73" s="4"/>
    </row>
    <row r="74" spans="1:14" ht="15">
      <c r="A74" s="13">
        <v>43891</v>
      </c>
      <c r="B74" s="63">
        <f>2.9973 * CHOOSE(CONTROL!$C$22, $C$13, 100%, $E$13)</f>
        <v>2.9973000000000001</v>
      </c>
      <c r="C74" s="63">
        <f>2.9973 * CHOOSE(CONTROL!$C$22, $C$13, 100%, $E$13)</f>
        <v>2.9973000000000001</v>
      </c>
      <c r="D74" s="63">
        <f>3.0173 * CHOOSE(CONTROL!$C$22, $C$13, 100%, $E$13)</f>
        <v>3.0173000000000001</v>
      </c>
      <c r="E74" s="64">
        <f>3.5226 * CHOOSE(CONTROL!$C$22, $C$13, 100%, $E$13)</f>
        <v>3.5226000000000002</v>
      </c>
      <c r="F74" s="64">
        <f>3.5226 * CHOOSE(CONTROL!$C$22, $C$13, 100%, $E$13)</f>
        <v>3.5226000000000002</v>
      </c>
      <c r="G74" s="64">
        <f>3.5228 * CHOOSE(CONTROL!$C$22, $C$13, 100%, $E$13)</f>
        <v>3.5228000000000002</v>
      </c>
      <c r="H74" s="64">
        <f>6.3595* CHOOSE(CONTROL!$C$22, $C$13, 100%, $E$13)</f>
        <v>6.3594999999999997</v>
      </c>
      <c r="I74" s="64">
        <f>6.3597 * CHOOSE(CONTROL!$C$22, $C$13, 100%, $E$13)</f>
        <v>6.3597000000000001</v>
      </c>
      <c r="J74" s="64">
        <f>3.5226 * CHOOSE(CONTROL!$C$22, $C$13, 100%, $E$13)</f>
        <v>3.5226000000000002</v>
      </c>
      <c r="K74" s="64">
        <f>3.5228 * CHOOSE(CONTROL!$C$22, $C$13, 100%, $E$13)</f>
        <v>3.5228000000000002</v>
      </c>
      <c r="L74" s="4"/>
      <c r="M74" s="4"/>
      <c r="N74" s="4"/>
    </row>
    <row r="75" spans="1:14" ht="15">
      <c r="A75" s="13">
        <v>43922</v>
      </c>
      <c r="B75" s="63">
        <f>2.994 * CHOOSE(CONTROL!$C$22, $C$13, 100%, $E$13)</f>
        <v>2.9940000000000002</v>
      </c>
      <c r="C75" s="63">
        <f>2.994 * CHOOSE(CONTROL!$C$22, $C$13, 100%, $E$13)</f>
        <v>2.9940000000000002</v>
      </c>
      <c r="D75" s="63">
        <f>3.014 * CHOOSE(CONTROL!$C$22, $C$13, 100%, $E$13)</f>
        <v>3.0139999999999998</v>
      </c>
      <c r="E75" s="64">
        <f>3.5484 * CHOOSE(CONTROL!$C$22, $C$13, 100%, $E$13)</f>
        <v>3.5484</v>
      </c>
      <c r="F75" s="64">
        <f>3.5484 * CHOOSE(CONTROL!$C$22, $C$13, 100%, $E$13)</f>
        <v>3.5484</v>
      </c>
      <c r="G75" s="64">
        <f>3.5486 * CHOOSE(CONTROL!$C$22, $C$13, 100%, $E$13)</f>
        <v>3.5486</v>
      </c>
      <c r="H75" s="64">
        <f>6.3728* CHOOSE(CONTROL!$C$22, $C$13, 100%, $E$13)</f>
        <v>6.3727999999999998</v>
      </c>
      <c r="I75" s="64">
        <f>6.373 * CHOOSE(CONTROL!$C$22, $C$13, 100%, $E$13)</f>
        <v>6.3730000000000002</v>
      </c>
      <c r="J75" s="64">
        <f>3.5484 * CHOOSE(CONTROL!$C$22, $C$13, 100%, $E$13)</f>
        <v>3.5484</v>
      </c>
      <c r="K75" s="64">
        <f>3.5486 * CHOOSE(CONTROL!$C$22, $C$13, 100%, $E$13)</f>
        <v>3.5486</v>
      </c>
      <c r="L75" s="4"/>
      <c r="M75" s="4"/>
      <c r="N75" s="4"/>
    </row>
    <row r="76" spans="1:14" ht="15">
      <c r="A76" s="13">
        <v>43952</v>
      </c>
      <c r="B76" s="63">
        <f>2.994 * CHOOSE(CONTROL!$C$22, $C$13, 100%, $E$13)</f>
        <v>2.9940000000000002</v>
      </c>
      <c r="C76" s="63">
        <f>2.994 * CHOOSE(CONTROL!$C$22, $C$13, 100%, $E$13)</f>
        <v>2.9940000000000002</v>
      </c>
      <c r="D76" s="63">
        <f>3.0339 * CHOOSE(CONTROL!$C$22, $C$13, 100%, $E$13)</f>
        <v>3.0339</v>
      </c>
      <c r="E76" s="64">
        <f>3.5597 * CHOOSE(CONTROL!$C$22, $C$13, 100%, $E$13)</f>
        <v>3.5596999999999999</v>
      </c>
      <c r="F76" s="64">
        <f>3.5597 * CHOOSE(CONTROL!$C$22, $C$13, 100%, $E$13)</f>
        <v>3.5596999999999999</v>
      </c>
      <c r="G76" s="64">
        <f>3.5621 * CHOOSE(CONTROL!$C$22, $C$13, 100%, $E$13)</f>
        <v>3.5621</v>
      </c>
      <c r="H76" s="64">
        <f>6.3861* CHOOSE(CONTROL!$C$22, $C$13, 100%, $E$13)</f>
        <v>6.3860999999999999</v>
      </c>
      <c r="I76" s="64">
        <f>6.3885 * CHOOSE(CONTROL!$C$22, $C$13, 100%, $E$13)</f>
        <v>6.3884999999999996</v>
      </c>
      <c r="J76" s="64">
        <f>3.5597 * CHOOSE(CONTROL!$C$22, $C$13, 100%, $E$13)</f>
        <v>3.5596999999999999</v>
      </c>
      <c r="K76" s="64">
        <f>3.5621 * CHOOSE(CONTROL!$C$22, $C$13, 100%, $E$13)</f>
        <v>3.5621</v>
      </c>
      <c r="L76" s="4"/>
      <c r="M76" s="4"/>
      <c r="N76" s="4"/>
    </row>
    <row r="77" spans="1:14" ht="15">
      <c r="A77" s="13">
        <v>43983</v>
      </c>
      <c r="B77" s="63">
        <f>3.0001 * CHOOSE(CONTROL!$C$22, $C$13, 100%, $E$13)</f>
        <v>3.0001000000000002</v>
      </c>
      <c r="C77" s="63">
        <f>3.0001 * CHOOSE(CONTROL!$C$22, $C$13, 100%, $E$13)</f>
        <v>3.0001000000000002</v>
      </c>
      <c r="D77" s="63">
        <f>3.04 * CHOOSE(CONTROL!$C$22, $C$13, 100%, $E$13)</f>
        <v>3.04</v>
      </c>
      <c r="E77" s="64">
        <f>3.5526 * CHOOSE(CONTROL!$C$22, $C$13, 100%, $E$13)</f>
        <v>3.5526</v>
      </c>
      <c r="F77" s="64">
        <f>3.5526 * CHOOSE(CONTROL!$C$22, $C$13, 100%, $E$13)</f>
        <v>3.5526</v>
      </c>
      <c r="G77" s="64">
        <f>3.5551 * CHOOSE(CONTROL!$C$22, $C$13, 100%, $E$13)</f>
        <v>3.5550999999999999</v>
      </c>
      <c r="H77" s="64">
        <f>6.3994* CHOOSE(CONTROL!$C$22, $C$13, 100%, $E$13)</f>
        <v>6.3994</v>
      </c>
      <c r="I77" s="64">
        <f>6.4018 * CHOOSE(CONTROL!$C$22, $C$13, 100%, $E$13)</f>
        <v>6.4017999999999997</v>
      </c>
      <c r="J77" s="64">
        <f>3.5526 * CHOOSE(CONTROL!$C$22, $C$13, 100%, $E$13)</f>
        <v>3.5526</v>
      </c>
      <c r="K77" s="64">
        <f>3.5551 * CHOOSE(CONTROL!$C$22, $C$13, 100%, $E$13)</f>
        <v>3.5550999999999999</v>
      </c>
      <c r="L77" s="4"/>
      <c r="M77" s="4"/>
      <c r="N77" s="4"/>
    </row>
    <row r="78" spans="1:14" ht="15">
      <c r="A78" s="13">
        <v>44013</v>
      </c>
      <c r="B78" s="63">
        <f>3.0509 * CHOOSE(CONTROL!$C$22, $C$13, 100%, $E$13)</f>
        <v>3.0508999999999999</v>
      </c>
      <c r="C78" s="63">
        <f>3.0509 * CHOOSE(CONTROL!$C$22, $C$13, 100%, $E$13)</f>
        <v>3.0508999999999999</v>
      </c>
      <c r="D78" s="63">
        <f>3.0908 * CHOOSE(CONTROL!$C$22, $C$13, 100%, $E$13)</f>
        <v>3.0908000000000002</v>
      </c>
      <c r="E78" s="64">
        <f>3.6456 * CHOOSE(CONTROL!$C$22, $C$13, 100%, $E$13)</f>
        <v>3.6456</v>
      </c>
      <c r="F78" s="64">
        <f>3.6456 * CHOOSE(CONTROL!$C$22, $C$13, 100%, $E$13)</f>
        <v>3.6456</v>
      </c>
      <c r="G78" s="64">
        <f>3.6481 * CHOOSE(CONTROL!$C$22, $C$13, 100%, $E$13)</f>
        <v>3.6480999999999999</v>
      </c>
      <c r="H78" s="64">
        <f>6.4127* CHOOSE(CONTROL!$C$22, $C$13, 100%, $E$13)</f>
        <v>6.4127000000000001</v>
      </c>
      <c r="I78" s="64">
        <f>6.4151 * CHOOSE(CONTROL!$C$22, $C$13, 100%, $E$13)</f>
        <v>6.4150999999999998</v>
      </c>
      <c r="J78" s="64">
        <f>3.6456 * CHOOSE(CONTROL!$C$22, $C$13, 100%, $E$13)</f>
        <v>3.6456</v>
      </c>
      <c r="K78" s="64">
        <f>3.6481 * CHOOSE(CONTROL!$C$22, $C$13, 100%, $E$13)</f>
        <v>3.6480999999999999</v>
      </c>
      <c r="L78" s="4"/>
      <c r="M78" s="4"/>
      <c r="N78" s="4"/>
    </row>
    <row r="79" spans="1:14" ht="15">
      <c r="A79" s="13">
        <v>44044</v>
      </c>
      <c r="B79" s="63">
        <f>3.0576 * CHOOSE(CONTROL!$C$22, $C$13, 100%, $E$13)</f>
        <v>3.0575999999999999</v>
      </c>
      <c r="C79" s="63">
        <f>3.0576 * CHOOSE(CONTROL!$C$22, $C$13, 100%, $E$13)</f>
        <v>3.0575999999999999</v>
      </c>
      <c r="D79" s="63">
        <f>3.0975 * CHOOSE(CONTROL!$C$22, $C$13, 100%, $E$13)</f>
        <v>3.0975000000000001</v>
      </c>
      <c r="E79" s="64">
        <f>3.6165 * CHOOSE(CONTROL!$C$22, $C$13, 100%, $E$13)</f>
        <v>3.6164999999999998</v>
      </c>
      <c r="F79" s="64">
        <f>3.6165 * CHOOSE(CONTROL!$C$22, $C$13, 100%, $E$13)</f>
        <v>3.6164999999999998</v>
      </c>
      <c r="G79" s="64">
        <f>3.6189 * CHOOSE(CONTROL!$C$22, $C$13, 100%, $E$13)</f>
        <v>3.6189</v>
      </c>
      <c r="H79" s="64">
        <f>6.4261* CHOOSE(CONTROL!$C$22, $C$13, 100%, $E$13)</f>
        <v>6.4260999999999999</v>
      </c>
      <c r="I79" s="64">
        <f>6.4285 * CHOOSE(CONTROL!$C$22, $C$13, 100%, $E$13)</f>
        <v>6.4284999999999997</v>
      </c>
      <c r="J79" s="64">
        <f>3.6165 * CHOOSE(CONTROL!$C$22, $C$13, 100%, $E$13)</f>
        <v>3.6164999999999998</v>
      </c>
      <c r="K79" s="64">
        <f>3.6189 * CHOOSE(CONTROL!$C$22, $C$13, 100%, $E$13)</f>
        <v>3.6189</v>
      </c>
      <c r="L79" s="4"/>
      <c r="M79" s="4"/>
      <c r="N79" s="4"/>
    </row>
    <row r="80" spans="1:14" ht="15">
      <c r="A80" s="13">
        <v>44075</v>
      </c>
      <c r="B80" s="63">
        <f>3.0545 * CHOOSE(CONTROL!$C$22, $C$13, 100%, $E$13)</f>
        <v>3.0545</v>
      </c>
      <c r="C80" s="63">
        <f>3.0545 * CHOOSE(CONTROL!$C$22, $C$13, 100%, $E$13)</f>
        <v>3.0545</v>
      </c>
      <c r="D80" s="63">
        <f>3.0945 * CHOOSE(CONTROL!$C$22, $C$13, 100%, $E$13)</f>
        <v>3.0945</v>
      </c>
      <c r="E80" s="64">
        <f>3.6106 * CHOOSE(CONTROL!$C$22, $C$13, 100%, $E$13)</f>
        <v>3.6105999999999998</v>
      </c>
      <c r="F80" s="64">
        <f>3.6106 * CHOOSE(CONTROL!$C$22, $C$13, 100%, $E$13)</f>
        <v>3.6105999999999998</v>
      </c>
      <c r="G80" s="64">
        <f>3.6131 * CHOOSE(CONTROL!$C$22, $C$13, 100%, $E$13)</f>
        <v>3.6131000000000002</v>
      </c>
      <c r="H80" s="64">
        <f>6.4394* CHOOSE(CONTROL!$C$22, $C$13, 100%, $E$13)</f>
        <v>6.4394</v>
      </c>
      <c r="I80" s="64">
        <f>6.4419 * CHOOSE(CONTROL!$C$22, $C$13, 100%, $E$13)</f>
        <v>6.4419000000000004</v>
      </c>
      <c r="J80" s="64">
        <f>3.6106 * CHOOSE(CONTROL!$C$22, $C$13, 100%, $E$13)</f>
        <v>3.6105999999999998</v>
      </c>
      <c r="K80" s="64">
        <f>3.6131 * CHOOSE(CONTROL!$C$22, $C$13, 100%, $E$13)</f>
        <v>3.6131000000000002</v>
      </c>
      <c r="L80" s="4"/>
      <c r="M80" s="4"/>
      <c r="N80" s="4"/>
    </row>
    <row r="81" spans="1:14" ht="15">
      <c r="A81" s="13">
        <v>44105</v>
      </c>
      <c r="B81" s="63">
        <f>3.0462 * CHOOSE(CONTROL!$C$22, $C$13, 100%, $E$13)</f>
        <v>3.0461999999999998</v>
      </c>
      <c r="C81" s="63">
        <f>3.0462 * CHOOSE(CONTROL!$C$22, $C$13, 100%, $E$13)</f>
        <v>3.0461999999999998</v>
      </c>
      <c r="D81" s="63">
        <f>3.0662 * CHOOSE(CONTROL!$C$22, $C$13, 100%, $E$13)</f>
        <v>3.0661999999999998</v>
      </c>
      <c r="E81" s="64">
        <f>3.6122 * CHOOSE(CONTROL!$C$22, $C$13, 100%, $E$13)</f>
        <v>3.6122000000000001</v>
      </c>
      <c r="F81" s="64">
        <f>3.6122 * CHOOSE(CONTROL!$C$22, $C$13, 100%, $E$13)</f>
        <v>3.6122000000000001</v>
      </c>
      <c r="G81" s="64">
        <f>3.6124 * CHOOSE(CONTROL!$C$22, $C$13, 100%, $E$13)</f>
        <v>3.6124000000000001</v>
      </c>
      <c r="H81" s="64">
        <f>6.4529* CHOOSE(CONTROL!$C$22, $C$13, 100%, $E$13)</f>
        <v>6.4528999999999996</v>
      </c>
      <c r="I81" s="64">
        <f>6.453 * CHOOSE(CONTROL!$C$22, $C$13, 100%, $E$13)</f>
        <v>6.4530000000000003</v>
      </c>
      <c r="J81" s="64">
        <f>3.6122 * CHOOSE(CONTROL!$C$22, $C$13, 100%, $E$13)</f>
        <v>3.6122000000000001</v>
      </c>
      <c r="K81" s="64">
        <f>3.6124 * CHOOSE(CONTROL!$C$22, $C$13, 100%, $E$13)</f>
        <v>3.6124000000000001</v>
      </c>
      <c r="L81" s="4"/>
      <c r="M81" s="4"/>
      <c r="N81" s="4"/>
    </row>
    <row r="82" spans="1:14" ht="15">
      <c r="A82" s="13">
        <v>44136</v>
      </c>
      <c r="B82" s="63">
        <f>3.0493 * CHOOSE(CONTROL!$C$22, $C$13, 100%, $E$13)</f>
        <v>3.0493000000000001</v>
      </c>
      <c r="C82" s="63">
        <f>3.0493 * CHOOSE(CONTROL!$C$22, $C$13, 100%, $E$13)</f>
        <v>3.0493000000000001</v>
      </c>
      <c r="D82" s="63">
        <f>3.0692 * CHOOSE(CONTROL!$C$22, $C$13, 100%, $E$13)</f>
        <v>3.0691999999999999</v>
      </c>
      <c r="E82" s="64">
        <f>3.6219 * CHOOSE(CONTROL!$C$22, $C$13, 100%, $E$13)</f>
        <v>3.6219000000000001</v>
      </c>
      <c r="F82" s="64">
        <f>3.6219 * CHOOSE(CONTROL!$C$22, $C$13, 100%, $E$13)</f>
        <v>3.6219000000000001</v>
      </c>
      <c r="G82" s="64">
        <f>3.622 * CHOOSE(CONTROL!$C$22, $C$13, 100%, $E$13)</f>
        <v>3.6219999999999999</v>
      </c>
      <c r="H82" s="64">
        <f>6.4663* CHOOSE(CONTROL!$C$22, $C$13, 100%, $E$13)</f>
        <v>6.4663000000000004</v>
      </c>
      <c r="I82" s="64">
        <f>6.4665 * CHOOSE(CONTROL!$C$22, $C$13, 100%, $E$13)</f>
        <v>6.4664999999999999</v>
      </c>
      <c r="J82" s="64">
        <f>3.6219 * CHOOSE(CONTROL!$C$22, $C$13, 100%, $E$13)</f>
        <v>3.6219000000000001</v>
      </c>
      <c r="K82" s="64">
        <f>3.622 * CHOOSE(CONTROL!$C$22, $C$13, 100%, $E$13)</f>
        <v>3.6219999999999999</v>
      </c>
      <c r="L82" s="4"/>
      <c r="M82" s="4"/>
      <c r="N82" s="4"/>
    </row>
    <row r="83" spans="1:14" ht="15">
      <c r="A83" s="13">
        <v>44166</v>
      </c>
      <c r="B83" s="63">
        <f>3.0493 * CHOOSE(CONTROL!$C$22, $C$13, 100%, $E$13)</f>
        <v>3.0493000000000001</v>
      </c>
      <c r="C83" s="63">
        <f>3.0493 * CHOOSE(CONTROL!$C$22, $C$13, 100%, $E$13)</f>
        <v>3.0493000000000001</v>
      </c>
      <c r="D83" s="63">
        <f>3.0692 * CHOOSE(CONTROL!$C$22, $C$13, 100%, $E$13)</f>
        <v>3.0691999999999999</v>
      </c>
      <c r="E83" s="64">
        <f>3.6031 * CHOOSE(CONTROL!$C$22, $C$13, 100%, $E$13)</f>
        <v>3.6031</v>
      </c>
      <c r="F83" s="64">
        <f>3.6031 * CHOOSE(CONTROL!$C$22, $C$13, 100%, $E$13)</f>
        <v>3.6031</v>
      </c>
      <c r="G83" s="64">
        <f>3.6033 * CHOOSE(CONTROL!$C$22, $C$13, 100%, $E$13)</f>
        <v>3.6032999999999999</v>
      </c>
      <c r="H83" s="64">
        <f>6.4798* CHOOSE(CONTROL!$C$22, $C$13, 100%, $E$13)</f>
        <v>6.4798</v>
      </c>
      <c r="I83" s="64">
        <f>6.48 * CHOOSE(CONTROL!$C$22, $C$13, 100%, $E$13)</f>
        <v>6.48</v>
      </c>
      <c r="J83" s="64">
        <f>3.6031 * CHOOSE(CONTROL!$C$22, $C$13, 100%, $E$13)</f>
        <v>3.6031</v>
      </c>
      <c r="K83" s="64">
        <f>3.6033 * CHOOSE(CONTROL!$C$22, $C$13, 100%, $E$13)</f>
        <v>3.6032999999999999</v>
      </c>
      <c r="L83" s="4"/>
      <c r="M83" s="4"/>
      <c r="N83" s="4"/>
    </row>
    <row r="84" spans="1:14" ht="15">
      <c r="A84" s="13">
        <v>44197</v>
      </c>
      <c r="B84" s="63">
        <f>3.0805 * CHOOSE(CONTROL!$C$22, $C$13, 100%, $E$13)</f>
        <v>3.0804999999999998</v>
      </c>
      <c r="C84" s="63">
        <f>3.0805 * CHOOSE(CONTROL!$C$22, $C$13, 100%, $E$13)</f>
        <v>3.0804999999999998</v>
      </c>
      <c r="D84" s="63">
        <f>3.1005 * CHOOSE(CONTROL!$C$22, $C$13, 100%, $E$13)</f>
        <v>3.1004999999999998</v>
      </c>
      <c r="E84" s="64">
        <f>3.649 * CHOOSE(CONTROL!$C$22, $C$13, 100%, $E$13)</f>
        <v>3.649</v>
      </c>
      <c r="F84" s="64">
        <f>3.649 * CHOOSE(CONTROL!$C$22, $C$13, 100%, $E$13)</f>
        <v>3.649</v>
      </c>
      <c r="G84" s="64">
        <f>3.6492 * CHOOSE(CONTROL!$C$22, $C$13, 100%, $E$13)</f>
        <v>3.6492</v>
      </c>
      <c r="H84" s="64">
        <f>6.4933* CHOOSE(CONTROL!$C$22, $C$13, 100%, $E$13)</f>
        <v>6.4932999999999996</v>
      </c>
      <c r="I84" s="64">
        <f>6.4935 * CHOOSE(CONTROL!$C$22, $C$13, 100%, $E$13)</f>
        <v>6.4935</v>
      </c>
      <c r="J84" s="64">
        <f>3.649 * CHOOSE(CONTROL!$C$22, $C$13, 100%, $E$13)</f>
        <v>3.649</v>
      </c>
      <c r="K84" s="64">
        <f>3.6492 * CHOOSE(CONTROL!$C$22, $C$13, 100%, $E$13)</f>
        <v>3.6492</v>
      </c>
      <c r="L84" s="4"/>
      <c r="M84" s="4"/>
      <c r="N84" s="4"/>
    </row>
    <row r="85" spans="1:14" ht="15">
      <c r="A85" s="13">
        <v>44228</v>
      </c>
      <c r="B85" s="63">
        <f>3.0775 * CHOOSE(CONTROL!$C$22, $C$13, 100%, $E$13)</f>
        <v>3.0775000000000001</v>
      </c>
      <c r="C85" s="63">
        <f>3.0775 * CHOOSE(CONTROL!$C$22, $C$13, 100%, $E$13)</f>
        <v>3.0775000000000001</v>
      </c>
      <c r="D85" s="63">
        <f>3.0974 * CHOOSE(CONTROL!$C$22, $C$13, 100%, $E$13)</f>
        <v>3.0973999999999999</v>
      </c>
      <c r="E85" s="64">
        <f>3.6087 * CHOOSE(CONTROL!$C$22, $C$13, 100%, $E$13)</f>
        <v>3.6086999999999998</v>
      </c>
      <c r="F85" s="64">
        <f>3.6087 * CHOOSE(CONTROL!$C$22, $C$13, 100%, $E$13)</f>
        <v>3.6086999999999998</v>
      </c>
      <c r="G85" s="64">
        <f>3.6088 * CHOOSE(CONTROL!$C$22, $C$13, 100%, $E$13)</f>
        <v>3.6088</v>
      </c>
      <c r="H85" s="64">
        <f>6.5068* CHOOSE(CONTROL!$C$22, $C$13, 100%, $E$13)</f>
        <v>6.5068000000000001</v>
      </c>
      <c r="I85" s="64">
        <f>6.507 * CHOOSE(CONTROL!$C$22, $C$13, 100%, $E$13)</f>
        <v>6.5069999999999997</v>
      </c>
      <c r="J85" s="64">
        <f>3.6087 * CHOOSE(CONTROL!$C$22, $C$13, 100%, $E$13)</f>
        <v>3.6086999999999998</v>
      </c>
      <c r="K85" s="64">
        <f>3.6088 * CHOOSE(CONTROL!$C$22, $C$13, 100%, $E$13)</f>
        <v>3.6088</v>
      </c>
      <c r="L85" s="4"/>
      <c r="M85" s="4"/>
      <c r="N85" s="4"/>
    </row>
    <row r="86" spans="1:14" ht="15">
      <c r="A86" s="13">
        <v>44256</v>
      </c>
      <c r="B86" s="63">
        <f>3.0744 * CHOOSE(CONTROL!$C$22, $C$13, 100%, $E$13)</f>
        <v>3.0743999999999998</v>
      </c>
      <c r="C86" s="63">
        <f>3.0744 * CHOOSE(CONTROL!$C$22, $C$13, 100%, $E$13)</f>
        <v>3.0743999999999998</v>
      </c>
      <c r="D86" s="63">
        <f>3.0944 * CHOOSE(CONTROL!$C$22, $C$13, 100%, $E$13)</f>
        <v>3.0943999999999998</v>
      </c>
      <c r="E86" s="64">
        <f>3.6367 * CHOOSE(CONTROL!$C$22, $C$13, 100%, $E$13)</f>
        <v>3.6366999999999998</v>
      </c>
      <c r="F86" s="64">
        <f>3.6367 * CHOOSE(CONTROL!$C$22, $C$13, 100%, $E$13)</f>
        <v>3.6366999999999998</v>
      </c>
      <c r="G86" s="64">
        <f>3.6369 * CHOOSE(CONTROL!$C$22, $C$13, 100%, $E$13)</f>
        <v>3.6368999999999998</v>
      </c>
      <c r="H86" s="64">
        <f>6.5204* CHOOSE(CONTROL!$C$22, $C$13, 100%, $E$13)</f>
        <v>6.5204000000000004</v>
      </c>
      <c r="I86" s="64">
        <f>6.5205 * CHOOSE(CONTROL!$C$22, $C$13, 100%, $E$13)</f>
        <v>6.5205000000000002</v>
      </c>
      <c r="J86" s="64">
        <f>3.6367 * CHOOSE(CONTROL!$C$22, $C$13, 100%, $E$13)</f>
        <v>3.6366999999999998</v>
      </c>
      <c r="K86" s="64">
        <f>3.6369 * CHOOSE(CONTROL!$C$22, $C$13, 100%, $E$13)</f>
        <v>3.6368999999999998</v>
      </c>
      <c r="L86" s="4"/>
      <c r="M86" s="4"/>
      <c r="N86" s="4"/>
    </row>
    <row r="87" spans="1:14" ht="15">
      <c r="A87" s="13">
        <v>44287</v>
      </c>
      <c r="B87" s="63">
        <f>3.0712 * CHOOSE(CONTROL!$C$22, $C$13, 100%, $E$13)</f>
        <v>3.0712000000000002</v>
      </c>
      <c r="C87" s="63">
        <f>3.0712 * CHOOSE(CONTROL!$C$22, $C$13, 100%, $E$13)</f>
        <v>3.0712000000000002</v>
      </c>
      <c r="D87" s="63">
        <f>3.0912 * CHOOSE(CONTROL!$C$22, $C$13, 100%, $E$13)</f>
        <v>3.0912000000000002</v>
      </c>
      <c r="E87" s="64">
        <f>3.6649 * CHOOSE(CONTROL!$C$22, $C$13, 100%, $E$13)</f>
        <v>3.6648999999999998</v>
      </c>
      <c r="F87" s="64">
        <f>3.6649 * CHOOSE(CONTROL!$C$22, $C$13, 100%, $E$13)</f>
        <v>3.6648999999999998</v>
      </c>
      <c r="G87" s="64">
        <f>3.665 * CHOOSE(CONTROL!$C$22, $C$13, 100%, $E$13)</f>
        <v>3.665</v>
      </c>
      <c r="H87" s="64">
        <f>6.5339* CHOOSE(CONTROL!$C$22, $C$13, 100%, $E$13)</f>
        <v>6.5339</v>
      </c>
      <c r="I87" s="64">
        <f>6.5341 * CHOOSE(CONTROL!$C$22, $C$13, 100%, $E$13)</f>
        <v>6.5340999999999996</v>
      </c>
      <c r="J87" s="64">
        <f>3.6649 * CHOOSE(CONTROL!$C$22, $C$13, 100%, $E$13)</f>
        <v>3.6648999999999998</v>
      </c>
      <c r="K87" s="64">
        <f>3.665 * CHOOSE(CONTROL!$C$22, $C$13, 100%, $E$13)</f>
        <v>3.665</v>
      </c>
      <c r="L87" s="4"/>
      <c r="M87" s="4"/>
      <c r="N87" s="4"/>
    </row>
    <row r="88" spans="1:14" ht="15">
      <c r="A88" s="13">
        <v>44317</v>
      </c>
      <c r="B88" s="63">
        <f>3.0712 * CHOOSE(CONTROL!$C$22, $C$13, 100%, $E$13)</f>
        <v>3.0712000000000002</v>
      </c>
      <c r="C88" s="63">
        <f>3.0712 * CHOOSE(CONTROL!$C$22, $C$13, 100%, $E$13)</f>
        <v>3.0712000000000002</v>
      </c>
      <c r="D88" s="63">
        <f>3.1112 * CHOOSE(CONTROL!$C$22, $C$13, 100%, $E$13)</f>
        <v>3.1112000000000002</v>
      </c>
      <c r="E88" s="64">
        <f>3.677 * CHOOSE(CONTROL!$C$22, $C$13, 100%, $E$13)</f>
        <v>3.677</v>
      </c>
      <c r="F88" s="64">
        <f>3.677 * CHOOSE(CONTROL!$C$22, $C$13, 100%, $E$13)</f>
        <v>3.677</v>
      </c>
      <c r="G88" s="64">
        <f>3.6795 * CHOOSE(CONTROL!$C$22, $C$13, 100%, $E$13)</f>
        <v>3.6795</v>
      </c>
      <c r="H88" s="64">
        <f>6.5476* CHOOSE(CONTROL!$C$22, $C$13, 100%, $E$13)</f>
        <v>6.5476000000000001</v>
      </c>
      <c r="I88" s="64">
        <f>6.55 * CHOOSE(CONTROL!$C$22, $C$13, 100%, $E$13)</f>
        <v>6.55</v>
      </c>
      <c r="J88" s="64">
        <f>3.677 * CHOOSE(CONTROL!$C$22, $C$13, 100%, $E$13)</f>
        <v>3.677</v>
      </c>
      <c r="K88" s="64">
        <f>3.6795 * CHOOSE(CONTROL!$C$22, $C$13, 100%, $E$13)</f>
        <v>3.6795</v>
      </c>
      <c r="L88" s="4"/>
      <c r="M88" s="4"/>
      <c r="N88" s="4"/>
    </row>
    <row r="89" spans="1:14" ht="15">
      <c r="A89" s="13">
        <v>44348</v>
      </c>
      <c r="B89" s="63">
        <f>3.0773 * CHOOSE(CONTROL!$C$22, $C$13, 100%, $E$13)</f>
        <v>3.0773000000000001</v>
      </c>
      <c r="C89" s="63">
        <f>3.0773 * CHOOSE(CONTROL!$C$22, $C$13, 100%, $E$13)</f>
        <v>3.0773000000000001</v>
      </c>
      <c r="D89" s="63">
        <f>3.1172 * CHOOSE(CONTROL!$C$22, $C$13, 100%, $E$13)</f>
        <v>3.1172</v>
      </c>
      <c r="E89" s="64">
        <f>3.6691 * CHOOSE(CONTROL!$C$22, $C$13, 100%, $E$13)</f>
        <v>3.6690999999999998</v>
      </c>
      <c r="F89" s="64">
        <f>3.6691 * CHOOSE(CONTROL!$C$22, $C$13, 100%, $E$13)</f>
        <v>3.6690999999999998</v>
      </c>
      <c r="G89" s="64">
        <f>3.6716 * CHOOSE(CONTROL!$C$22, $C$13, 100%, $E$13)</f>
        <v>3.6716000000000002</v>
      </c>
      <c r="H89" s="64">
        <f>6.5612* CHOOSE(CONTROL!$C$22, $C$13, 100%, $E$13)</f>
        <v>6.5612000000000004</v>
      </c>
      <c r="I89" s="64">
        <f>6.5636 * CHOOSE(CONTROL!$C$22, $C$13, 100%, $E$13)</f>
        <v>6.5636000000000001</v>
      </c>
      <c r="J89" s="64">
        <f>3.6691 * CHOOSE(CONTROL!$C$22, $C$13, 100%, $E$13)</f>
        <v>3.6690999999999998</v>
      </c>
      <c r="K89" s="64">
        <f>3.6716 * CHOOSE(CONTROL!$C$22, $C$13, 100%, $E$13)</f>
        <v>3.6716000000000002</v>
      </c>
      <c r="L89" s="4"/>
      <c r="M89" s="4"/>
      <c r="N89" s="4"/>
    </row>
    <row r="90" spans="1:14" ht="15">
      <c r="A90" s="13">
        <v>44378</v>
      </c>
      <c r="B90" s="63">
        <f>3.137 * CHOOSE(CONTROL!$C$22, $C$13, 100%, $E$13)</f>
        <v>3.137</v>
      </c>
      <c r="C90" s="63">
        <f>3.137 * CHOOSE(CONTROL!$C$22, $C$13, 100%, $E$13)</f>
        <v>3.137</v>
      </c>
      <c r="D90" s="63">
        <f>3.1769 * CHOOSE(CONTROL!$C$22, $C$13, 100%, $E$13)</f>
        <v>3.1768999999999998</v>
      </c>
      <c r="E90" s="64">
        <f>3.6976 * CHOOSE(CONTROL!$C$22, $C$13, 100%, $E$13)</f>
        <v>3.6976</v>
      </c>
      <c r="F90" s="64">
        <f>3.6976 * CHOOSE(CONTROL!$C$22, $C$13, 100%, $E$13)</f>
        <v>3.6976</v>
      </c>
      <c r="G90" s="64">
        <f>3.7001 * CHOOSE(CONTROL!$C$22, $C$13, 100%, $E$13)</f>
        <v>3.7000999999999999</v>
      </c>
      <c r="H90" s="64">
        <f>6.5749* CHOOSE(CONTROL!$C$22, $C$13, 100%, $E$13)</f>
        <v>6.5749000000000004</v>
      </c>
      <c r="I90" s="64">
        <f>6.5773 * CHOOSE(CONTROL!$C$22, $C$13, 100%, $E$13)</f>
        <v>6.5773000000000001</v>
      </c>
      <c r="J90" s="64">
        <f>3.6976 * CHOOSE(CONTROL!$C$22, $C$13, 100%, $E$13)</f>
        <v>3.6976</v>
      </c>
      <c r="K90" s="64">
        <f>3.7001 * CHOOSE(CONTROL!$C$22, $C$13, 100%, $E$13)</f>
        <v>3.7000999999999999</v>
      </c>
      <c r="L90" s="4"/>
      <c r="M90" s="4"/>
      <c r="N90" s="4"/>
    </row>
    <row r="91" spans="1:14" ht="15">
      <c r="A91" s="13">
        <v>44409</v>
      </c>
      <c r="B91" s="63">
        <f>3.1436 * CHOOSE(CONTROL!$C$22, $C$13, 100%, $E$13)</f>
        <v>3.1436000000000002</v>
      </c>
      <c r="C91" s="63">
        <f>3.1436 * CHOOSE(CONTROL!$C$22, $C$13, 100%, $E$13)</f>
        <v>3.1436000000000002</v>
      </c>
      <c r="D91" s="63">
        <f>3.1836 * CHOOSE(CONTROL!$C$22, $C$13, 100%, $E$13)</f>
        <v>3.1836000000000002</v>
      </c>
      <c r="E91" s="64">
        <f>3.6658 * CHOOSE(CONTROL!$C$22, $C$13, 100%, $E$13)</f>
        <v>3.6657999999999999</v>
      </c>
      <c r="F91" s="64">
        <f>3.6658 * CHOOSE(CONTROL!$C$22, $C$13, 100%, $E$13)</f>
        <v>3.6657999999999999</v>
      </c>
      <c r="G91" s="64">
        <f>3.6683 * CHOOSE(CONTROL!$C$22, $C$13, 100%, $E$13)</f>
        <v>3.6682999999999999</v>
      </c>
      <c r="H91" s="64">
        <f>6.5886* CHOOSE(CONTROL!$C$22, $C$13, 100%, $E$13)</f>
        <v>6.5885999999999996</v>
      </c>
      <c r="I91" s="64">
        <f>6.591 * CHOOSE(CONTROL!$C$22, $C$13, 100%, $E$13)</f>
        <v>6.5910000000000002</v>
      </c>
      <c r="J91" s="64">
        <f>3.6658 * CHOOSE(CONTROL!$C$22, $C$13, 100%, $E$13)</f>
        <v>3.6657999999999999</v>
      </c>
      <c r="K91" s="64">
        <f>3.6683 * CHOOSE(CONTROL!$C$22, $C$13, 100%, $E$13)</f>
        <v>3.6682999999999999</v>
      </c>
      <c r="L91" s="4"/>
      <c r="M91" s="4"/>
      <c r="N91" s="4"/>
    </row>
    <row r="92" spans="1:14" ht="15">
      <c r="A92" s="13">
        <v>44440</v>
      </c>
      <c r="B92" s="63">
        <f>3.1406 * CHOOSE(CONTROL!$C$22, $C$13, 100%, $E$13)</f>
        <v>3.1406000000000001</v>
      </c>
      <c r="C92" s="63">
        <f>3.1406 * CHOOSE(CONTROL!$C$22, $C$13, 100%, $E$13)</f>
        <v>3.1406000000000001</v>
      </c>
      <c r="D92" s="63">
        <f>3.1805 * CHOOSE(CONTROL!$C$22, $C$13, 100%, $E$13)</f>
        <v>3.1804999999999999</v>
      </c>
      <c r="E92" s="64">
        <f>3.6597 * CHOOSE(CONTROL!$C$22, $C$13, 100%, $E$13)</f>
        <v>3.6597</v>
      </c>
      <c r="F92" s="64">
        <f>3.6597 * CHOOSE(CONTROL!$C$22, $C$13, 100%, $E$13)</f>
        <v>3.6597</v>
      </c>
      <c r="G92" s="64">
        <f>3.6621 * CHOOSE(CONTROL!$C$22, $C$13, 100%, $E$13)</f>
        <v>3.6621000000000001</v>
      </c>
      <c r="H92" s="64">
        <f>6.6023* CHOOSE(CONTROL!$C$22, $C$13, 100%, $E$13)</f>
        <v>6.6022999999999996</v>
      </c>
      <c r="I92" s="64">
        <f>6.6047 * CHOOSE(CONTROL!$C$22, $C$13, 100%, $E$13)</f>
        <v>6.6047000000000002</v>
      </c>
      <c r="J92" s="64">
        <f>3.6597 * CHOOSE(CONTROL!$C$22, $C$13, 100%, $E$13)</f>
        <v>3.6597</v>
      </c>
      <c r="K92" s="64">
        <f>3.6621 * CHOOSE(CONTROL!$C$22, $C$13, 100%, $E$13)</f>
        <v>3.6621000000000001</v>
      </c>
      <c r="L92" s="4"/>
      <c r="M92" s="4"/>
      <c r="N92" s="4"/>
    </row>
    <row r="93" spans="1:14" ht="15">
      <c r="A93" s="13">
        <v>44470</v>
      </c>
      <c r="B93" s="63">
        <f>3.1326 * CHOOSE(CONTROL!$C$22, $C$13, 100%, $E$13)</f>
        <v>3.1326000000000001</v>
      </c>
      <c r="C93" s="63">
        <f>3.1326 * CHOOSE(CONTROL!$C$22, $C$13, 100%, $E$13)</f>
        <v>3.1326000000000001</v>
      </c>
      <c r="D93" s="63">
        <f>3.1526 * CHOOSE(CONTROL!$C$22, $C$13, 100%, $E$13)</f>
        <v>3.1526000000000001</v>
      </c>
      <c r="E93" s="64">
        <f>3.6625 * CHOOSE(CONTROL!$C$22, $C$13, 100%, $E$13)</f>
        <v>3.6625000000000001</v>
      </c>
      <c r="F93" s="64">
        <f>3.6625 * CHOOSE(CONTROL!$C$22, $C$13, 100%, $E$13)</f>
        <v>3.6625000000000001</v>
      </c>
      <c r="G93" s="64">
        <f>3.6626 * CHOOSE(CONTROL!$C$22, $C$13, 100%, $E$13)</f>
        <v>3.6625999999999999</v>
      </c>
      <c r="H93" s="64">
        <f>6.616* CHOOSE(CONTROL!$C$22, $C$13, 100%, $E$13)</f>
        <v>6.6159999999999997</v>
      </c>
      <c r="I93" s="64">
        <f>6.6162 * CHOOSE(CONTROL!$C$22, $C$13, 100%, $E$13)</f>
        <v>6.6162000000000001</v>
      </c>
      <c r="J93" s="64">
        <f>3.6625 * CHOOSE(CONTROL!$C$22, $C$13, 100%, $E$13)</f>
        <v>3.6625000000000001</v>
      </c>
      <c r="K93" s="64">
        <f>3.6626 * CHOOSE(CONTROL!$C$22, $C$13, 100%, $E$13)</f>
        <v>3.6625999999999999</v>
      </c>
      <c r="L93" s="4"/>
      <c r="M93" s="4"/>
      <c r="N93" s="4"/>
    </row>
    <row r="94" spans="1:14" ht="15">
      <c r="A94" s="13">
        <v>44501</v>
      </c>
      <c r="B94" s="63">
        <f>3.1356 * CHOOSE(CONTROL!$C$22, $C$13, 100%, $E$13)</f>
        <v>3.1356000000000002</v>
      </c>
      <c r="C94" s="63">
        <f>3.1356 * CHOOSE(CONTROL!$C$22, $C$13, 100%, $E$13)</f>
        <v>3.1356000000000002</v>
      </c>
      <c r="D94" s="63">
        <f>3.1556 * CHOOSE(CONTROL!$C$22, $C$13, 100%, $E$13)</f>
        <v>3.1556000000000002</v>
      </c>
      <c r="E94" s="64">
        <f>3.6727 * CHOOSE(CONTROL!$C$22, $C$13, 100%, $E$13)</f>
        <v>3.6726999999999999</v>
      </c>
      <c r="F94" s="64">
        <f>3.6727 * CHOOSE(CONTROL!$C$22, $C$13, 100%, $E$13)</f>
        <v>3.6726999999999999</v>
      </c>
      <c r="G94" s="64">
        <f>3.6728 * CHOOSE(CONTROL!$C$22, $C$13, 100%, $E$13)</f>
        <v>3.6728000000000001</v>
      </c>
      <c r="H94" s="64">
        <f>6.6298* CHOOSE(CONTROL!$C$22, $C$13, 100%, $E$13)</f>
        <v>6.6298000000000004</v>
      </c>
      <c r="I94" s="64">
        <f>6.63 * CHOOSE(CONTROL!$C$22, $C$13, 100%, $E$13)</f>
        <v>6.63</v>
      </c>
      <c r="J94" s="64">
        <f>3.6727 * CHOOSE(CONTROL!$C$22, $C$13, 100%, $E$13)</f>
        <v>3.6726999999999999</v>
      </c>
      <c r="K94" s="64">
        <f>3.6728 * CHOOSE(CONTROL!$C$22, $C$13, 100%, $E$13)</f>
        <v>3.6728000000000001</v>
      </c>
      <c r="L94" s="4"/>
      <c r="M94" s="4"/>
      <c r="N94" s="4"/>
    </row>
    <row r="95" spans="1:14" ht="15">
      <c r="A95" s="13">
        <v>44531</v>
      </c>
      <c r="B95" s="63">
        <f>3.1356 * CHOOSE(CONTROL!$C$22, $C$13, 100%, $E$13)</f>
        <v>3.1356000000000002</v>
      </c>
      <c r="C95" s="63">
        <f>3.1356 * CHOOSE(CONTROL!$C$22, $C$13, 100%, $E$13)</f>
        <v>3.1356000000000002</v>
      </c>
      <c r="D95" s="63">
        <f>3.1556 * CHOOSE(CONTROL!$C$22, $C$13, 100%, $E$13)</f>
        <v>3.1556000000000002</v>
      </c>
      <c r="E95" s="64">
        <f>3.6524 * CHOOSE(CONTROL!$C$22, $C$13, 100%, $E$13)</f>
        <v>3.6524000000000001</v>
      </c>
      <c r="F95" s="64">
        <f>3.6524 * CHOOSE(CONTROL!$C$22, $C$13, 100%, $E$13)</f>
        <v>3.6524000000000001</v>
      </c>
      <c r="G95" s="64">
        <f>3.6526 * CHOOSE(CONTROL!$C$22, $C$13, 100%, $E$13)</f>
        <v>3.6526000000000001</v>
      </c>
      <c r="H95" s="64">
        <f>6.6436* CHOOSE(CONTROL!$C$22, $C$13, 100%, $E$13)</f>
        <v>6.6436000000000002</v>
      </c>
      <c r="I95" s="64">
        <f>6.6438 * CHOOSE(CONTROL!$C$22, $C$13, 100%, $E$13)</f>
        <v>6.6437999999999997</v>
      </c>
      <c r="J95" s="64">
        <f>3.6524 * CHOOSE(CONTROL!$C$22, $C$13, 100%, $E$13)</f>
        <v>3.6524000000000001</v>
      </c>
      <c r="K95" s="64">
        <f>3.6526 * CHOOSE(CONTROL!$C$22, $C$13, 100%, $E$13)</f>
        <v>3.6526000000000001</v>
      </c>
      <c r="L95" s="4"/>
      <c r="M95" s="4"/>
      <c r="N95" s="4"/>
    </row>
    <row r="96" spans="1:14" ht="15">
      <c r="A96" s="13">
        <v>44562</v>
      </c>
      <c r="B96" s="63">
        <f>3.1653 * CHOOSE(CONTROL!$C$22, $C$13, 100%, $E$13)</f>
        <v>3.1652999999999998</v>
      </c>
      <c r="C96" s="63">
        <f>3.1653 * CHOOSE(CONTROL!$C$22, $C$13, 100%, $E$13)</f>
        <v>3.1652999999999998</v>
      </c>
      <c r="D96" s="63">
        <f>3.1853 * CHOOSE(CONTROL!$C$22, $C$13, 100%, $E$13)</f>
        <v>3.1852999999999998</v>
      </c>
      <c r="E96" s="64">
        <f>3.7076 * CHOOSE(CONTROL!$C$22, $C$13, 100%, $E$13)</f>
        <v>3.7075999999999998</v>
      </c>
      <c r="F96" s="64">
        <f>3.7076 * CHOOSE(CONTROL!$C$22, $C$13, 100%, $E$13)</f>
        <v>3.7075999999999998</v>
      </c>
      <c r="G96" s="64">
        <f>3.7078 * CHOOSE(CONTROL!$C$22, $C$13, 100%, $E$13)</f>
        <v>3.7078000000000002</v>
      </c>
      <c r="H96" s="64">
        <f>6.6575* CHOOSE(CONTROL!$C$22, $C$13, 100%, $E$13)</f>
        <v>6.6574999999999998</v>
      </c>
      <c r="I96" s="64">
        <f>6.6577 * CHOOSE(CONTROL!$C$22, $C$13, 100%, $E$13)</f>
        <v>6.6577000000000002</v>
      </c>
      <c r="J96" s="64">
        <f>3.7076 * CHOOSE(CONTROL!$C$22, $C$13, 100%, $E$13)</f>
        <v>3.7075999999999998</v>
      </c>
      <c r="K96" s="64">
        <f>3.7078 * CHOOSE(CONTROL!$C$22, $C$13, 100%, $E$13)</f>
        <v>3.7078000000000002</v>
      </c>
      <c r="L96" s="4"/>
      <c r="M96" s="4"/>
      <c r="N96" s="4"/>
    </row>
    <row r="97" spans="1:14" ht="15">
      <c r="A97" s="13">
        <v>44593</v>
      </c>
      <c r="B97" s="63">
        <f>3.1623 * CHOOSE(CONTROL!$C$22, $C$13, 100%, $E$13)</f>
        <v>3.1623000000000001</v>
      </c>
      <c r="C97" s="63">
        <f>3.1623 * CHOOSE(CONTROL!$C$22, $C$13, 100%, $E$13)</f>
        <v>3.1623000000000001</v>
      </c>
      <c r="D97" s="63">
        <f>3.1823 * CHOOSE(CONTROL!$C$22, $C$13, 100%, $E$13)</f>
        <v>3.1823000000000001</v>
      </c>
      <c r="E97" s="64">
        <f>3.6651 * CHOOSE(CONTROL!$C$22, $C$13, 100%, $E$13)</f>
        <v>3.6650999999999998</v>
      </c>
      <c r="F97" s="64">
        <f>3.6651 * CHOOSE(CONTROL!$C$22, $C$13, 100%, $E$13)</f>
        <v>3.6650999999999998</v>
      </c>
      <c r="G97" s="64">
        <f>3.6653 * CHOOSE(CONTROL!$C$22, $C$13, 100%, $E$13)</f>
        <v>3.6652999999999998</v>
      </c>
      <c r="H97" s="64">
        <f>6.6713* CHOOSE(CONTROL!$C$22, $C$13, 100%, $E$13)</f>
        <v>6.6712999999999996</v>
      </c>
      <c r="I97" s="64">
        <f>6.6715 * CHOOSE(CONTROL!$C$22, $C$13, 100%, $E$13)</f>
        <v>6.6715</v>
      </c>
      <c r="J97" s="64">
        <f>3.6651 * CHOOSE(CONTROL!$C$22, $C$13, 100%, $E$13)</f>
        <v>3.6650999999999998</v>
      </c>
      <c r="K97" s="64">
        <f>3.6653 * CHOOSE(CONTROL!$C$22, $C$13, 100%, $E$13)</f>
        <v>3.6652999999999998</v>
      </c>
      <c r="L97" s="4"/>
      <c r="M97" s="4"/>
      <c r="N97" s="4"/>
    </row>
    <row r="98" spans="1:14" ht="15">
      <c r="A98" s="13">
        <v>44621</v>
      </c>
      <c r="B98" s="63">
        <f>3.1593 * CHOOSE(CONTROL!$C$22, $C$13, 100%, $E$13)</f>
        <v>3.1593</v>
      </c>
      <c r="C98" s="63">
        <f>3.1593 * CHOOSE(CONTROL!$C$22, $C$13, 100%, $E$13)</f>
        <v>3.1593</v>
      </c>
      <c r="D98" s="63">
        <f>3.1792 * CHOOSE(CONTROL!$C$22, $C$13, 100%, $E$13)</f>
        <v>3.1791999999999998</v>
      </c>
      <c r="E98" s="64">
        <f>3.6948 * CHOOSE(CONTROL!$C$22, $C$13, 100%, $E$13)</f>
        <v>3.6947999999999999</v>
      </c>
      <c r="F98" s="64">
        <f>3.6948 * CHOOSE(CONTROL!$C$22, $C$13, 100%, $E$13)</f>
        <v>3.6947999999999999</v>
      </c>
      <c r="G98" s="64">
        <f>3.695 * CHOOSE(CONTROL!$C$22, $C$13, 100%, $E$13)</f>
        <v>3.6949999999999998</v>
      </c>
      <c r="H98" s="64">
        <f>6.6852* CHOOSE(CONTROL!$C$22, $C$13, 100%, $E$13)</f>
        <v>6.6852</v>
      </c>
      <c r="I98" s="64">
        <f>6.6854 * CHOOSE(CONTROL!$C$22, $C$13, 100%, $E$13)</f>
        <v>6.6853999999999996</v>
      </c>
      <c r="J98" s="64">
        <f>3.6948 * CHOOSE(CONTROL!$C$22, $C$13, 100%, $E$13)</f>
        <v>3.6947999999999999</v>
      </c>
      <c r="K98" s="64">
        <f>3.695 * CHOOSE(CONTROL!$C$22, $C$13, 100%, $E$13)</f>
        <v>3.6949999999999998</v>
      </c>
      <c r="L98" s="4"/>
      <c r="M98" s="4"/>
      <c r="N98" s="4"/>
    </row>
    <row r="99" spans="1:14" ht="15">
      <c r="A99" s="13">
        <v>44652</v>
      </c>
      <c r="B99" s="63">
        <f>3.1561 * CHOOSE(CONTROL!$C$22, $C$13, 100%, $E$13)</f>
        <v>3.1560999999999999</v>
      </c>
      <c r="C99" s="63">
        <f>3.1561 * CHOOSE(CONTROL!$C$22, $C$13, 100%, $E$13)</f>
        <v>3.1560999999999999</v>
      </c>
      <c r="D99" s="63">
        <f>3.1761 * CHOOSE(CONTROL!$C$22, $C$13, 100%, $E$13)</f>
        <v>3.1760999999999999</v>
      </c>
      <c r="E99" s="64">
        <f>3.7248 * CHOOSE(CONTROL!$C$22, $C$13, 100%, $E$13)</f>
        <v>3.7248000000000001</v>
      </c>
      <c r="F99" s="64">
        <f>3.7248 * CHOOSE(CONTROL!$C$22, $C$13, 100%, $E$13)</f>
        <v>3.7248000000000001</v>
      </c>
      <c r="G99" s="64">
        <f>3.7249 * CHOOSE(CONTROL!$C$22, $C$13, 100%, $E$13)</f>
        <v>3.7248999999999999</v>
      </c>
      <c r="H99" s="64">
        <f>6.6992* CHOOSE(CONTROL!$C$22, $C$13, 100%, $E$13)</f>
        <v>6.6992000000000003</v>
      </c>
      <c r="I99" s="64">
        <f>6.6994 * CHOOSE(CONTROL!$C$22, $C$13, 100%, $E$13)</f>
        <v>6.6993999999999998</v>
      </c>
      <c r="J99" s="64">
        <f>3.7248 * CHOOSE(CONTROL!$C$22, $C$13, 100%, $E$13)</f>
        <v>3.7248000000000001</v>
      </c>
      <c r="K99" s="64">
        <f>3.7249 * CHOOSE(CONTROL!$C$22, $C$13, 100%, $E$13)</f>
        <v>3.7248999999999999</v>
      </c>
      <c r="L99" s="4"/>
      <c r="M99" s="4"/>
      <c r="N99" s="4"/>
    </row>
    <row r="100" spans="1:14" ht="15">
      <c r="A100" s="13">
        <v>44682</v>
      </c>
      <c r="B100" s="63">
        <f>3.1561 * CHOOSE(CONTROL!$C$22, $C$13, 100%, $E$13)</f>
        <v>3.1560999999999999</v>
      </c>
      <c r="C100" s="63">
        <f>3.1561 * CHOOSE(CONTROL!$C$22, $C$13, 100%, $E$13)</f>
        <v>3.1560999999999999</v>
      </c>
      <c r="D100" s="63">
        <f>3.1961 * CHOOSE(CONTROL!$C$22, $C$13, 100%, $E$13)</f>
        <v>3.1960999999999999</v>
      </c>
      <c r="E100" s="64">
        <f>3.7376 * CHOOSE(CONTROL!$C$22, $C$13, 100%, $E$13)</f>
        <v>3.7376</v>
      </c>
      <c r="F100" s="64">
        <f>3.7376 * CHOOSE(CONTROL!$C$22, $C$13, 100%, $E$13)</f>
        <v>3.7376</v>
      </c>
      <c r="G100" s="64">
        <f>3.74 * CHOOSE(CONTROL!$C$22, $C$13, 100%, $E$13)</f>
        <v>3.74</v>
      </c>
      <c r="H100" s="64">
        <f>6.7131* CHOOSE(CONTROL!$C$22, $C$13, 100%, $E$13)</f>
        <v>6.7130999999999998</v>
      </c>
      <c r="I100" s="64">
        <f>6.7156 * CHOOSE(CONTROL!$C$22, $C$13, 100%, $E$13)</f>
        <v>6.7156000000000002</v>
      </c>
      <c r="J100" s="64">
        <f>3.7376 * CHOOSE(CONTROL!$C$22, $C$13, 100%, $E$13)</f>
        <v>3.7376</v>
      </c>
      <c r="K100" s="64">
        <f>3.74 * CHOOSE(CONTROL!$C$22, $C$13, 100%, $E$13)</f>
        <v>3.74</v>
      </c>
      <c r="L100" s="4"/>
      <c r="M100" s="4"/>
      <c r="N100" s="4"/>
    </row>
    <row r="101" spans="1:14" ht="15">
      <c r="A101" s="13">
        <v>44713</v>
      </c>
      <c r="B101" s="63">
        <f>3.1622 * CHOOSE(CONTROL!$C$22, $C$13, 100%, $E$13)</f>
        <v>3.1621999999999999</v>
      </c>
      <c r="C101" s="63">
        <f>3.1622 * CHOOSE(CONTROL!$C$22, $C$13, 100%, $E$13)</f>
        <v>3.1621999999999999</v>
      </c>
      <c r="D101" s="63">
        <f>3.2021 * CHOOSE(CONTROL!$C$22, $C$13, 100%, $E$13)</f>
        <v>3.2021000000000002</v>
      </c>
      <c r="E101" s="64">
        <f>3.729 * CHOOSE(CONTROL!$C$22, $C$13, 100%, $E$13)</f>
        <v>3.7290000000000001</v>
      </c>
      <c r="F101" s="64">
        <f>3.729 * CHOOSE(CONTROL!$C$22, $C$13, 100%, $E$13)</f>
        <v>3.7290000000000001</v>
      </c>
      <c r="G101" s="64">
        <f>3.7314 * CHOOSE(CONTROL!$C$22, $C$13, 100%, $E$13)</f>
        <v>3.7313999999999998</v>
      </c>
      <c r="H101" s="64">
        <f>6.7271* CHOOSE(CONTROL!$C$22, $C$13, 100%, $E$13)</f>
        <v>6.7271000000000001</v>
      </c>
      <c r="I101" s="64">
        <f>6.7296 * CHOOSE(CONTROL!$C$22, $C$13, 100%, $E$13)</f>
        <v>6.7295999999999996</v>
      </c>
      <c r="J101" s="64">
        <f>3.729 * CHOOSE(CONTROL!$C$22, $C$13, 100%, $E$13)</f>
        <v>3.7290000000000001</v>
      </c>
      <c r="K101" s="64">
        <f>3.7314 * CHOOSE(CONTROL!$C$22, $C$13, 100%, $E$13)</f>
        <v>3.7313999999999998</v>
      </c>
      <c r="L101" s="4"/>
      <c r="M101" s="4"/>
      <c r="N101" s="4"/>
    </row>
    <row r="102" spans="1:14" ht="15">
      <c r="A102" s="13">
        <v>44743</v>
      </c>
      <c r="B102" s="63">
        <f>3.2179 * CHOOSE(CONTROL!$C$22, $C$13, 100%, $E$13)</f>
        <v>3.2179000000000002</v>
      </c>
      <c r="C102" s="63">
        <f>3.2179 * CHOOSE(CONTROL!$C$22, $C$13, 100%, $E$13)</f>
        <v>3.2179000000000002</v>
      </c>
      <c r="D102" s="63">
        <f>3.2578 * CHOOSE(CONTROL!$C$22, $C$13, 100%, $E$13)</f>
        <v>3.2578</v>
      </c>
      <c r="E102" s="64">
        <f>3.796 * CHOOSE(CONTROL!$C$22, $C$13, 100%, $E$13)</f>
        <v>3.7959999999999998</v>
      </c>
      <c r="F102" s="64">
        <f>3.796 * CHOOSE(CONTROL!$C$22, $C$13, 100%, $E$13)</f>
        <v>3.7959999999999998</v>
      </c>
      <c r="G102" s="64">
        <f>3.7985 * CHOOSE(CONTROL!$C$22, $C$13, 100%, $E$13)</f>
        <v>3.7985000000000002</v>
      </c>
      <c r="H102" s="64">
        <f>6.7411* CHOOSE(CONTROL!$C$22, $C$13, 100%, $E$13)</f>
        <v>6.7411000000000003</v>
      </c>
      <c r="I102" s="64">
        <f>6.7436 * CHOOSE(CONTROL!$C$22, $C$13, 100%, $E$13)</f>
        <v>6.7435999999999998</v>
      </c>
      <c r="J102" s="64">
        <f>3.796 * CHOOSE(CONTROL!$C$22, $C$13, 100%, $E$13)</f>
        <v>3.7959999999999998</v>
      </c>
      <c r="K102" s="64">
        <f>3.7985 * CHOOSE(CONTROL!$C$22, $C$13, 100%, $E$13)</f>
        <v>3.7985000000000002</v>
      </c>
      <c r="L102" s="4"/>
      <c r="M102" s="4"/>
      <c r="N102" s="4"/>
    </row>
    <row r="103" spans="1:14" ht="15">
      <c r="A103" s="13">
        <v>44774</v>
      </c>
      <c r="B103" s="63">
        <f>3.2245 * CHOOSE(CONTROL!$C$22, $C$13, 100%, $E$13)</f>
        <v>3.2244999999999999</v>
      </c>
      <c r="C103" s="63">
        <f>3.2245 * CHOOSE(CONTROL!$C$22, $C$13, 100%, $E$13)</f>
        <v>3.2244999999999999</v>
      </c>
      <c r="D103" s="63">
        <f>3.2645 * CHOOSE(CONTROL!$C$22, $C$13, 100%, $E$13)</f>
        <v>3.2645</v>
      </c>
      <c r="E103" s="64">
        <f>3.7622 * CHOOSE(CONTROL!$C$22, $C$13, 100%, $E$13)</f>
        <v>3.7622</v>
      </c>
      <c r="F103" s="64">
        <f>3.7622 * CHOOSE(CONTROL!$C$22, $C$13, 100%, $E$13)</f>
        <v>3.7622</v>
      </c>
      <c r="G103" s="64">
        <f>3.7647 * CHOOSE(CONTROL!$C$22, $C$13, 100%, $E$13)</f>
        <v>3.7646999999999999</v>
      </c>
      <c r="H103" s="64">
        <f>6.7552* CHOOSE(CONTROL!$C$22, $C$13, 100%, $E$13)</f>
        <v>6.7552000000000003</v>
      </c>
      <c r="I103" s="64">
        <f>6.7576 * CHOOSE(CONTROL!$C$22, $C$13, 100%, $E$13)</f>
        <v>6.7576000000000001</v>
      </c>
      <c r="J103" s="64">
        <f>3.7622 * CHOOSE(CONTROL!$C$22, $C$13, 100%, $E$13)</f>
        <v>3.7622</v>
      </c>
      <c r="K103" s="64">
        <f>3.7647 * CHOOSE(CONTROL!$C$22, $C$13, 100%, $E$13)</f>
        <v>3.7646999999999999</v>
      </c>
      <c r="L103" s="4"/>
      <c r="M103" s="4"/>
      <c r="N103" s="4"/>
    </row>
    <row r="104" spans="1:14" ht="15">
      <c r="A104" s="13">
        <v>44805</v>
      </c>
      <c r="B104" s="63">
        <f>3.2215 * CHOOSE(CONTROL!$C$22, $C$13, 100%, $E$13)</f>
        <v>3.2214999999999998</v>
      </c>
      <c r="C104" s="63">
        <f>3.2215 * CHOOSE(CONTROL!$C$22, $C$13, 100%, $E$13)</f>
        <v>3.2214999999999998</v>
      </c>
      <c r="D104" s="63">
        <f>3.2614 * CHOOSE(CONTROL!$C$22, $C$13, 100%, $E$13)</f>
        <v>3.2614000000000001</v>
      </c>
      <c r="E104" s="64">
        <f>3.7558 * CHOOSE(CONTROL!$C$22, $C$13, 100%, $E$13)</f>
        <v>3.7557999999999998</v>
      </c>
      <c r="F104" s="64">
        <f>3.7558 * CHOOSE(CONTROL!$C$22, $C$13, 100%, $E$13)</f>
        <v>3.7557999999999998</v>
      </c>
      <c r="G104" s="64">
        <f>3.7583 * CHOOSE(CONTROL!$C$22, $C$13, 100%, $E$13)</f>
        <v>3.7583000000000002</v>
      </c>
      <c r="H104" s="64">
        <f>6.7692* CHOOSE(CONTROL!$C$22, $C$13, 100%, $E$13)</f>
        <v>6.7691999999999997</v>
      </c>
      <c r="I104" s="64">
        <f>6.7717 * CHOOSE(CONTROL!$C$22, $C$13, 100%, $E$13)</f>
        <v>6.7717000000000001</v>
      </c>
      <c r="J104" s="64">
        <f>3.7558 * CHOOSE(CONTROL!$C$22, $C$13, 100%, $E$13)</f>
        <v>3.7557999999999998</v>
      </c>
      <c r="K104" s="64">
        <f>3.7583 * CHOOSE(CONTROL!$C$22, $C$13, 100%, $E$13)</f>
        <v>3.7583000000000002</v>
      </c>
      <c r="L104" s="4"/>
      <c r="M104" s="4"/>
      <c r="N104" s="4"/>
    </row>
    <row r="105" spans="1:14" ht="15">
      <c r="A105" s="13">
        <v>44835</v>
      </c>
      <c r="B105" s="63">
        <f>3.2138 * CHOOSE(CONTROL!$C$22, $C$13, 100%, $E$13)</f>
        <v>3.2138</v>
      </c>
      <c r="C105" s="63">
        <f>3.2138 * CHOOSE(CONTROL!$C$22, $C$13, 100%, $E$13)</f>
        <v>3.2138</v>
      </c>
      <c r="D105" s="63">
        <f>3.2338 * CHOOSE(CONTROL!$C$22, $C$13, 100%, $E$13)</f>
        <v>3.2338</v>
      </c>
      <c r="E105" s="64">
        <f>3.7595 * CHOOSE(CONTROL!$C$22, $C$13, 100%, $E$13)</f>
        <v>3.7595000000000001</v>
      </c>
      <c r="F105" s="64">
        <f>3.7595 * CHOOSE(CONTROL!$C$22, $C$13, 100%, $E$13)</f>
        <v>3.7595000000000001</v>
      </c>
      <c r="G105" s="64">
        <f>3.7597 * CHOOSE(CONTROL!$C$22, $C$13, 100%, $E$13)</f>
        <v>3.7597</v>
      </c>
      <c r="H105" s="64">
        <f>6.7834* CHOOSE(CONTROL!$C$22, $C$13, 100%, $E$13)</f>
        <v>6.7834000000000003</v>
      </c>
      <c r="I105" s="64">
        <f>6.7835 * CHOOSE(CONTROL!$C$22, $C$13, 100%, $E$13)</f>
        <v>6.7835000000000001</v>
      </c>
      <c r="J105" s="64">
        <f>3.7595 * CHOOSE(CONTROL!$C$22, $C$13, 100%, $E$13)</f>
        <v>3.7595000000000001</v>
      </c>
      <c r="K105" s="64">
        <f>3.7597 * CHOOSE(CONTROL!$C$22, $C$13, 100%, $E$13)</f>
        <v>3.7597</v>
      </c>
      <c r="L105" s="4"/>
      <c r="M105" s="4"/>
      <c r="N105" s="4"/>
    </row>
    <row r="106" spans="1:14" ht="15">
      <c r="A106" s="13">
        <v>44866</v>
      </c>
      <c r="B106" s="63">
        <f>3.2169 * CHOOSE(CONTROL!$C$22, $C$13, 100%, $E$13)</f>
        <v>3.2168999999999999</v>
      </c>
      <c r="C106" s="63">
        <f>3.2169 * CHOOSE(CONTROL!$C$22, $C$13, 100%, $E$13)</f>
        <v>3.2168999999999999</v>
      </c>
      <c r="D106" s="63">
        <f>3.2368 * CHOOSE(CONTROL!$C$22, $C$13, 100%, $E$13)</f>
        <v>3.2368000000000001</v>
      </c>
      <c r="E106" s="64">
        <f>3.7702 * CHOOSE(CONTROL!$C$22, $C$13, 100%, $E$13)</f>
        <v>3.7702</v>
      </c>
      <c r="F106" s="64">
        <f>3.7702 * CHOOSE(CONTROL!$C$22, $C$13, 100%, $E$13)</f>
        <v>3.7702</v>
      </c>
      <c r="G106" s="64">
        <f>3.7703 * CHOOSE(CONTROL!$C$22, $C$13, 100%, $E$13)</f>
        <v>3.7703000000000002</v>
      </c>
      <c r="H106" s="64">
        <f>6.7975* CHOOSE(CONTROL!$C$22, $C$13, 100%, $E$13)</f>
        <v>6.7975000000000003</v>
      </c>
      <c r="I106" s="64">
        <f>6.7977 * CHOOSE(CONTROL!$C$22, $C$13, 100%, $E$13)</f>
        <v>6.7976999999999999</v>
      </c>
      <c r="J106" s="64">
        <f>3.7702 * CHOOSE(CONTROL!$C$22, $C$13, 100%, $E$13)</f>
        <v>3.7702</v>
      </c>
      <c r="K106" s="64">
        <f>3.7703 * CHOOSE(CONTROL!$C$22, $C$13, 100%, $E$13)</f>
        <v>3.7703000000000002</v>
      </c>
      <c r="L106" s="4"/>
      <c r="M106" s="4"/>
      <c r="N106" s="4"/>
    </row>
    <row r="107" spans="1:14" ht="15">
      <c r="A107" s="13">
        <v>44896</v>
      </c>
      <c r="B107" s="63">
        <f>3.2169 * CHOOSE(CONTROL!$C$22, $C$13, 100%, $E$13)</f>
        <v>3.2168999999999999</v>
      </c>
      <c r="C107" s="63">
        <f>3.2169 * CHOOSE(CONTROL!$C$22, $C$13, 100%, $E$13)</f>
        <v>3.2168999999999999</v>
      </c>
      <c r="D107" s="63">
        <f>3.2368 * CHOOSE(CONTROL!$C$22, $C$13, 100%, $E$13)</f>
        <v>3.2368000000000001</v>
      </c>
      <c r="E107" s="64">
        <f>3.7488 * CHOOSE(CONTROL!$C$22, $C$13, 100%, $E$13)</f>
        <v>3.7488000000000001</v>
      </c>
      <c r="F107" s="64">
        <f>3.7488 * CHOOSE(CONTROL!$C$22, $C$13, 100%, $E$13)</f>
        <v>3.7488000000000001</v>
      </c>
      <c r="G107" s="64">
        <f>3.749 * CHOOSE(CONTROL!$C$22, $C$13, 100%, $E$13)</f>
        <v>3.7490000000000001</v>
      </c>
      <c r="H107" s="64">
        <f>6.8116* CHOOSE(CONTROL!$C$22, $C$13, 100%, $E$13)</f>
        <v>6.8116000000000003</v>
      </c>
      <c r="I107" s="64">
        <f>6.8118 * CHOOSE(CONTROL!$C$22, $C$13, 100%, $E$13)</f>
        <v>6.8117999999999999</v>
      </c>
      <c r="J107" s="64">
        <f>3.7488 * CHOOSE(CONTROL!$C$22, $C$13, 100%, $E$13)</f>
        <v>3.7488000000000001</v>
      </c>
      <c r="K107" s="64">
        <f>3.749 * CHOOSE(CONTROL!$C$22, $C$13, 100%, $E$13)</f>
        <v>3.7490000000000001</v>
      </c>
      <c r="L107" s="4"/>
      <c r="M107" s="4"/>
      <c r="N107" s="4"/>
    </row>
    <row r="108" spans="1:14" ht="15">
      <c r="A108" s="13">
        <v>44927</v>
      </c>
      <c r="B108" s="63">
        <f>3.2478 * CHOOSE(CONTROL!$C$22, $C$13, 100%, $E$13)</f>
        <v>3.2477999999999998</v>
      </c>
      <c r="C108" s="63">
        <f>3.2478 * CHOOSE(CONTROL!$C$22, $C$13, 100%, $E$13)</f>
        <v>3.2477999999999998</v>
      </c>
      <c r="D108" s="63">
        <f>3.2678 * CHOOSE(CONTROL!$C$22, $C$13, 100%, $E$13)</f>
        <v>3.2677999999999998</v>
      </c>
      <c r="E108" s="64">
        <f>3.7975 * CHOOSE(CONTROL!$C$22, $C$13, 100%, $E$13)</f>
        <v>3.7974999999999999</v>
      </c>
      <c r="F108" s="64">
        <f>3.7975 * CHOOSE(CONTROL!$C$22, $C$13, 100%, $E$13)</f>
        <v>3.7974999999999999</v>
      </c>
      <c r="G108" s="64">
        <f>3.7977 * CHOOSE(CONTROL!$C$22, $C$13, 100%, $E$13)</f>
        <v>3.7976999999999999</v>
      </c>
      <c r="H108" s="64">
        <f>6.8258* CHOOSE(CONTROL!$C$22, $C$13, 100%, $E$13)</f>
        <v>6.8258000000000001</v>
      </c>
      <c r="I108" s="64">
        <f>6.826 * CHOOSE(CONTROL!$C$22, $C$13, 100%, $E$13)</f>
        <v>6.8259999999999996</v>
      </c>
      <c r="J108" s="64">
        <f>3.7975 * CHOOSE(CONTROL!$C$22, $C$13, 100%, $E$13)</f>
        <v>3.7974999999999999</v>
      </c>
      <c r="K108" s="64">
        <f>3.7977 * CHOOSE(CONTROL!$C$22, $C$13, 100%, $E$13)</f>
        <v>3.7976999999999999</v>
      </c>
      <c r="L108" s="4"/>
      <c r="M108" s="4"/>
      <c r="N108" s="4"/>
    </row>
    <row r="109" spans="1:14" ht="15">
      <c r="A109" s="13">
        <v>44958</v>
      </c>
      <c r="B109" s="63">
        <f>3.2448 * CHOOSE(CONTROL!$C$22, $C$13, 100%, $E$13)</f>
        <v>3.2448000000000001</v>
      </c>
      <c r="C109" s="63">
        <f>3.2448 * CHOOSE(CONTROL!$C$22, $C$13, 100%, $E$13)</f>
        <v>3.2448000000000001</v>
      </c>
      <c r="D109" s="63">
        <f>3.2648 * CHOOSE(CONTROL!$C$22, $C$13, 100%, $E$13)</f>
        <v>3.2648000000000001</v>
      </c>
      <c r="E109" s="64">
        <f>3.7528 * CHOOSE(CONTROL!$C$22, $C$13, 100%, $E$13)</f>
        <v>3.7528000000000001</v>
      </c>
      <c r="F109" s="64">
        <f>3.7528 * CHOOSE(CONTROL!$C$22, $C$13, 100%, $E$13)</f>
        <v>3.7528000000000001</v>
      </c>
      <c r="G109" s="64">
        <f>3.753 * CHOOSE(CONTROL!$C$22, $C$13, 100%, $E$13)</f>
        <v>3.7530000000000001</v>
      </c>
      <c r="H109" s="64">
        <f>6.8401* CHOOSE(CONTROL!$C$22, $C$13, 100%, $E$13)</f>
        <v>6.8400999999999996</v>
      </c>
      <c r="I109" s="64">
        <f>6.8402 * CHOOSE(CONTROL!$C$22, $C$13, 100%, $E$13)</f>
        <v>6.8402000000000003</v>
      </c>
      <c r="J109" s="64">
        <f>3.7528 * CHOOSE(CONTROL!$C$22, $C$13, 100%, $E$13)</f>
        <v>3.7528000000000001</v>
      </c>
      <c r="K109" s="64">
        <f>3.753 * CHOOSE(CONTROL!$C$22, $C$13, 100%, $E$13)</f>
        <v>3.7530000000000001</v>
      </c>
      <c r="L109" s="4"/>
      <c r="M109" s="4"/>
      <c r="N109" s="4"/>
    </row>
    <row r="110" spans="1:14" ht="15">
      <c r="A110" s="13">
        <v>44986</v>
      </c>
      <c r="B110" s="63">
        <f>3.2417 * CHOOSE(CONTROL!$C$22, $C$13, 100%, $E$13)</f>
        <v>3.2416999999999998</v>
      </c>
      <c r="C110" s="63">
        <f>3.2417 * CHOOSE(CONTROL!$C$22, $C$13, 100%, $E$13)</f>
        <v>3.2416999999999998</v>
      </c>
      <c r="D110" s="63">
        <f>3.2617 * CHOOSE(CONTROL!$C$22, $C$13, 100%, $E$13)</f>
        <v>3.2616999999999998</v>
      </c>
      <c r="E110" s="64">
        <f>3.7843 * CHOOSE(CONTROL!$C$22, $C$13, 100%, $E$13)</f>
        <v>3.7843</v>
      </c>
      <c r="F110" s="64">
        <f>3.7843 * CHOOSE(CONTROL!$C$22, $C$13, 100%, $E$13)</f>
        <v>3.7843</v>
      </c>
      <c r="G110" s="64">
        <f>3.7844 * CHOOSE(CONTROL!$C$22, $C$13, 100%, $E$13)</f>
        <v>3.7844000000000002</v>
      </c>
      <c r="H110" s="64">
        <f>6.8543* CHOOSE(CONTROL!$C$22, $C$13, 100%, $E$13)</f>
        <v>6.8543000000000003</v>
      </c>
      <c r="I110" s="64">
        <f>6.8545 * CHOOSE(CONTROL!$C$22, $C$13, 100%, $E$13)</f>
        <v>6.8544999999999998</v>
      </c>
      <c r="J110" s="64">
        <f>3.7843 * CHOOSE(CONTROL!$C$22, $C$13, 100%, $E$13)</f>
        <v>3.7843</v>
      </c>
      <c r="K110" s="64">
        <f>3.7844 * CHOOSE(CONTROL!$C$22, $C$13, 100%, $E$13)</f>
        <v>3.7844000000000002</v>
      </c>
      <c r="L110" s="4"/>
      <c r="M110" s="4"/>
      <c r="N110" s="4"/>
    </row>
    <row r="111" spans="1:14" ht="15">
      <c r="A111" s="13">
        <v>45017</v>
      </c>
      <c r="B111" s="63">
        <f>3.2387 * CHOOSE(CONTROL!$C$22, $C$13, 100%, $E$13)</f>
        <v>3.2387000000000001</v>
      </c>
      <c r="C111" s="63">
        <f>3.2387 * CHOOSE(CONTROL!$C$22, $C$13, 100%, $E$13)</f>
        <v>3.2387000000000001</v>
      </c>
      <c r="D111" s="63">
        <f>3.2587 * CHOOSE(CONTROL!$C$22, $C$13, 100%, $E$13)</f>
        <v>3.2587000000000002</v>
      </c>
      <c r="E111" s="64">
        <f>3.816 * CHOOSE(CONTROL!$C$22, $C$13, 100%, $E$13)</f>
        <v>3.8159999999999998</v>
      </c>
      <c r="F111" s="64">
        <f>3.816 * CHOOSE(CONTROL!$C$22, $C$13, 100%, $E$13)</f>
        <v>3.8159999999999998</v>
      </c>
      <c r="G111" s="64">
        <f>3.8162 * CHOOSE(CONTROL!$C$22, $C$13, 100%, $E$13)</f>
        <v>3.8161999999999998</v>
      </c>
      <c r="H111" s="64">
        <f>6.8686* CHOOSE(CONTROL!$C$22, $C$13, 100%, $E$13)</f>
        <v>6.8685999999999998</v>
      </c>
      <c r="I111" s="64">
        <f>6.8688 * CHOOSE(CONTROL!$C$22, $C$13, 100%, $E$13)</f>
        <v>6.8688000000000002</v>
      </c>
      <c r="J111" s="64">
        <f>3.816 * CHOOSE(CONTROL!$C$22, $C$13, 100%, $E$13)</f>
        <v>3.8159999999999998</v>
      </c>
      <c r="K111" s="64">
        <f>3.8162 * CHOOSE(CONTROL!$C$22, $C$13, 100%, $E$13)</f>
        <v>3.8161999999999998</v>
      </c>
      <c r="L111" s="4"/>
      <c r="M111" s="4"/>
      <c r="N111" s="4"/>
    </row>
    <row r="112" spans="1:14" ht="15">
      <c r="A112" s="13">
        <v>45047</v>
      </c>
      <c r="B112" s="63">
        <f>3.2387 * CHOOSE(CONTROL!$C$22, $C$13, 100%, $E$13)</f>
        <v>3.2387000000000001</v>
      </c>
      <c r="C112" s="63">
        <f>3.2387 * CHOOSE(CONTROL!$C$22, $C$13, 100%, $E$13)</f>
        <v>3.2387000000000001</v>
      </c>
      <c r="D112" s="63">
        <f>3.2786 * CHOOSE(CONTROL!$C$22, $C$13, 100%, $E$13)</f>
        <v>3.2786</v>
      </c>
      <c r="E112" s="64">
        <f>3.8295 * CHOOSE(CONTROL!$C$22, $C$13, 100%, $E$13)</f>
        <v>3.8294999999999999</v>
      </c>
      <c r="F112" s="64">
        <f>3.8295 * CHOOSE(CONTROL!$C$22, $C$13, 100%, $E$13)</f>
        <v>3.8294999999999999</v>
      </c>
      <c r="G112" s="64">
        <f>3.832 * CHOOSE(CONTROL!$C$22, $C$13, 100%, $E$13)</f>
        <v>3.8319999999999999</v>
      </c>
      <c r="H112" s="64">
        <f>6.8829* CHOOSE(CONTROL!$C$22, $C$13, 100%, $E$13)</f>
        <v>6.8829000000000002</v>
      </c>
      <c r="I112" s="64">
        <f>6.8853 * CHOOSE(CONTROL!$C$22, $C$13, 100%, $E$13)</f>
        <v>6.8853</v>
      </c>
      <c r="J112" s="64">
        <f>3.8295 * CHOOSE(CONTROL!$C$22, $C$13, 100%, $E$13)</f>
        <v>3.8294999999999999</v>
      </c>
      <c r="K112" s="64">
        <f>3.832 * CHOOSE(CONTROL!$C$22, $C$13, 100%, $E$13)</f>
        <v>3.8319999999999999</v>
      </c>
      <c r="L112" s="4"/>
      <c r="M112" s="4"/>
      <c r="N112" s="4"/>
    </row>
    <row r="113" spans="1:14" ht="15">
      <c r="A113" s="13">
        <v>45078</v>
      </c>
      <c r="B113" s="63">
        <f>3.2448 * CHOOSE(CONTROL!$C$22, $C$13, 100%, $E$13)</f>
        <v>3.2448000000000001</v>
      </c>
      <c r="C113" s="63">
        <f>3.2448 * CHOOSE(CONTROL!$C$22, $C$13, 100%, $E$13)</f>
        <v>3.2448000000000001</v>
      </c>
      <c r="D113" s="63">
        <f>3.2847 * CHOOSE(CONTROL!$C$22, $C$13, 100%, $E$13)</f>
        <v>3.2847</v>
      </c>
      <c r="E113" s="64">
        <f>3.8203 * CHOOSE(CONTROL!$C$22, $C$13, 100%, $E$13)</f>
        <v>3.8203</v>
      </c>
      <c r="F113" s="64">
        <f>3.8203 * CHOOSE(CONTROL!$C$22, $C$13, 100%, $E$13)</f>
        <v>3.8203</v>
      </c>
      <c r="G113" s="64">
        <f>3.8227 * CHOOSE(CONTROL!$C$22, $C$13, 100%, $E$13)</f>
        <v>3.8227000000000002</v>
      </c>
      <c r="H113" s="64">
        <f>6.8972* CHOOSE(CONTROL!$C$22, $C$13, 100%, $E$13)</f>
        <v>6.8971999999999998</v>
      </c>
      <c r="I113" s="64">
        <f>6.8997 * CHOOSE(CONTROL!$C$22, $C$13, 100%, $E$13)</f>
        <v>6.8997000000000002</v>
      </c>
      <c r="J113" s="64">
        <f>3.8203 * CHOOSE(CONTROL!$C$22, $C$13, 100%, $E$13)</f>
        <v>3.8203</v>
      </c>
      <c r="K113" s="64">
        <f>3.8227 * CHOOSE(CONTROL!$C$22, $C$13, 100%, $E$13)</f>
        <v>3.8227000000000002</v>
      </c>
      <c r="L113" s="4"/>
      <c r="M113" s="4"/>
      <c r="N113" s="4"/>
    </row>
    <row r="114" spans="1:14" ht="15">
      <c r="A114" s="13">
        <v>45108</v>
      </c>
      <c r="B114" s="63">
        <f>3.3031 * CHOOSE(CONTROL!$C$22, $C$13, 100%, $E$13)</f>
        <v>3.3031000000000001</v>
      </c>
      <c r="C114" s="63">
        <f>3.3031 * CHOOSE(CONTROL!$C$22, $C$13, 100%, $E$13)</f>
        <v>3.3031000000000001</v>
      </c>
      <c r="D114" s="63">
        <f>3.343 * CHOOSE(CONTROL!$C$22, $C$13, 100%, $E$13)</f>
        <v>3.343</v>
      </c>
      <c r="E114" s="64">
        <f>3.8691 * CHOOSE(CONTROL!$C$22, $C$13, 100%, $E$13)</f>
        <v>3.8691</v>
      </c>
      <c r="F114" s="64">
        <f>3.8691 * CHOOSE(CONTROL!$C$22, $C$13, 100%, $E$13)</f>
        <v>3.8691</v>
      </c>
      <c r="G114" s="64">
        <f>3.8715 * CHOOSE(CONTROL!$C$22, $C$13, 100%, $E$13)</f>
        <v>3.8715000000000002</v>
      </c>
      <c r="H114" s="64">
        <f>6.9116* CHOOSE(CONTROL!$C$22, $C$13, 100%, $E$13)</f>
        <v>6.9116</v>
      </c>
      <c r="I114" s="64">
        <f>6.9141 * CHOOSE(CONTROL!$C$22, $C$13, 100%, $E$13)</f>
        <v>6.9141000000000004</v>
      </c>
      <c r="J114" s="64">
        <f>3.8691 * CHOOSE(CONTROL!$C$22, $C$13, 100%, $E$13)</f>
        <v>3.8691</v>
      </c>
      <c r="K114" s="64">
        <f>3.8715 * CHOOSE(CONTROL!$C$22, $C$13, 100%, $E$13)</f>
        <v>3.8715000000000002</v>
      </c>
      <c r="L114" s="4"/>
      <c r="M114" s="4"/>
      <c r="N114" s="4"/>
    </row>
    <row r="115" spans="1:14" ht="15">
      <c r="A115" s="13">
        <v>45139</v>
      </c>
      <c r="B115" s="63">
        <f>3.3098 * CHOOSE(CONTROL!$C$22, $C$13, 100%, $E$13)</f>
        <v>3.3098000000000001</v>
      </c>
      <c r="C115" s="63">
        <f>3.3098 * CHOOSE(CONTROL!$C$22, $C$13, 100%, $E$13)</f>
        <v>3.3098000000000001</v>
      </c>
      <c r="D115" s="63">
        <f>3.3497 * CHOOSE(CONTROL!$C$22, $C$13, 100%, $E$13)</f>
        <v>3.3496999999999999</v>
      </c>
      <c r="E115" s="64">
        <f>3.8332 * CHOOSE(CONTROL!$C$22, $C$13, 100%, $E$13)</f>
        <v>3.8332000000000002</v>
      </c>
      <c r="F115" s="64">
        <f>3.8332 * CHOOSE(CONTROL!$C$22, $C$13, 100%, $E$13)</f>
        <v>3.8332000000000002</v>
      </c>
      <c r="G115" s="64">
        <f>3.8357 * CHOOSE(CONTROL!$C$22, $C$13, 100%, $E$13)</f>
        <v>3.8357000000000001</v>
      </c>
      <c r="H115" s="64">
        <f>6.926* CHOOSE(CONTROL!$C$22, $C$13, 100%, $E$13)</f>
        <v>6.9260000000000002</v>
      </c>
      <c r="I115" s="64">
        <f>6.9285 * CHOOSE(CONTROL!$C$22, $C$13, 100%, $E$13)</f>
        <v>6.9284999999999997</v>
      </c>
      <c r="J115" s="64">
        <f>3.8332 * CHOOSE(CONTROL!$C$22, $C$13, 100%, $E$13)</f>
        <v>3.8332000000000002</v>
      </c>
      <c r="K115" s="64">
        <f>3.8357 * CHOOSE(CONTROL!$C$22, $C$13, 100%, $E$13)</f>
        <v>3.8357000000000001</v>
      </c>
      <c r="L115" s="4"/>
      <c r="M115" s="4"/>
      <c r="N115" s="4"/>
    </row>
    <row r="116" spans="1:14" ht="15">
      <c r="A116" s="13">
        <v>45170</v>
      </c>
      <c r="B116" s="63">
        <f>3.3067 * CHOOSE(CONTROL!$C$22, $C$13, 100%, $E$13)</f>
        <v>3.3067000000000002</v>
      </c>
      <c r="C116" s="63">
        <f>3.3067 * CHOOSE(CONTROL!$C$22, $C$13, 100%, $E$13)</f>
        <v>3.3067000000000002</v>
      </c>
      <c r="D116" s="63">
        <f>3.3467 * CHOOSE(CONTROL!$C$22, $C$13, 100%, $E$13)</f>
        <v>3.3466999999999998</v>
      </c>
      <c r="E116" s="64">
        <f>3.8266 * CHOOSE(CONTROL!$C$22, $C$13, 100%, $E$13)</f>
        <v>3.8266</v>
      </c>
      <c r="F116" s="64">
        <f>3.8266 * CHOOSE(CONTROL!$C$22, $C$13, 100%, $E$13)</f>
        <v>3.8266</v>
      </c>
      <c r="G116" s="64">
        <f>3.829 * CHOOSE(CONTROL!$C$22, $C$13, 100%, $E$13)</f>
        <v>3.8290000000000002</v>
      </c>
      <c r="H116" s="64">
        <f>6.9404* CHOOSE(CONTROL!$C$22, $C$13, 100%, $E$13)</f>
        <v>6.9404000000000003</v>
      </c>
      <c r="I116" s="64">
        <f>6.9429 * CHOOSE(CONTROL!$C$22, $C$13, 100%, $E$13)</f>
        <v>6.9428999999999998</v>
      </c>
      <c r="J116" s="64">
        <f>3.8266 * CHOOSE(CONTROL!$C$22, $C$13, 100%, $E$13)</f>
        <v>3.8266</v>
      </c>
      <c r="K116" s="64">
        <f>3.829 * CHOOSE(CONTROL!$C$22, $C$13, 100%, $E$13)</f>
        <v>3.8290000000000002</v>
      </c>
      <c r="L116" s="4"/>
      <c r="M116" s="4"/>
      <c r="N116" s="4"/>
    </row>
    <row r="117" spans="1:14" ht="15">
      <c r="A117" s="13">
        <v>45200</v>
      </c>
      <c r="B117" s="63">
        <f>3.2994 * CHOOSE(CONTROL!$C$22, $C$13, 100%, $E$13)</f>
        <v>3.2993999999999999</v>
      </c>
      <c r="C117" s="63">
        <f>3.2994 * CHOOSE(CONTROL!$C$22, $C$13, 100%, $E$13)</f>
        <v>3.2993999999999999</v>
      </c>
      <c r="D117" s="63">
        <f>3.3193 * CHOOSE(CONTROL!$C$22, $C$13, 100%, $E$13)</f>
        <v>3.3193000000000001</v>
      </c>
      <c r="E117" s="64">
        <f>3.8312 * CHOOSE(CONTROL!$C$22, $C$13, 100%, $E$13)</f>
        <v>3.8311999999999999</v>
      </c>
      <c r="F117" s="64">
        <f>3.8312 * CHOOSE(CONTROL!$C$22, $C$13, 100%, $E$13)</f>
        <v>3.8311999999999999</v>
      </c>
      <c r="G117" s="64">
        <f>3.8314 * CHOOSE(CONTROL!$C$22, $C$13, 100%, $E$13)</f>
        <v>3.8313999999999999</v>
      </c>
      <c r="H117" s="64">
        <f>6.9549* CHOOSE(CONTROL!$C$22, $C$13, 100%, $E$13)</f>
        <v>6.9549000000000003</v>
      </c>
      <c r="I117" s="64">
        <f>6.9551 * CHOOSE(CONTROL!$C$22, $C$13, 100%, $E$13)</f>
        <v>6.9550999999999998</v>
      </c>
      <c r="J117" s="64">
        <f>3.8312 * CHOOSE(CONTROL!$C$22, $C$13, 100%, $E$13)</f>
        <v>3.8311999999999999</v>
      </c>
      <c r="K117" s="64">
        <f>3.8314 * CHOOSE(CONTROL!$C$22, $C$13, 100%, $E$13)</f>
        <v>3.8313999999999999</v>
      </c>
      <c r="L117" s="4"/>
      <c r="M117" s="4"/>
      <c r="N117" s="4"/>
    </row>
    <row r="118" spans="1:14" ht="15">
      <c r="A118" s="13">
        <v>45231</v>
      </c>
      <c r="B118" s="63">
        <f>3.3024 * CHOOSE(CONTROL!$C$22, $C$13, 100%, $E$13)</f>
        <v>3.3024</v>
      </c>
      <c r="C118" s="63">
        <f>3.3024 * CHOOSE(CONTROL!$C$22, $C$13, 100%, $E$13)</f>
        <v>3.3024</v>
      </c>
      <c r="D118" s="63">
        <f>3.3224 * CHOOSE(CONTROL!$C$22, $C$13, 100%, $E$13)</f>
        <v>3.3224</v>
      </c>
      <c r="E118" s="64">
        <f>3.8423 * CHOOSE(CONTROL!$C$22, $C$13, 100%, $E$13)</f>
        <v>3.8422999999999998</v>
      </c>
      <c r="F118" s="64">
        <f>3.8423 * CHOOSE(CONTROL!$C$22, $C$13, 100%, $E$13)</f>
        <v>3.8422999999999998</v>
      </c>
      <c r="G118" s="64">
        <f>3.8425 * CHOOSE(CONTROL!$C$22, $C$13, 100%, $E$13)</f>
        <v>3.8424999999999998</v>
      </c>
      <c r="H118" s="64">
        <f>6.9694* CHOOSE(CONTROL!$C$22, $C$13, 100%, $E$13)</f>
        <v>6.9694000000000003</v>
      </c>
      <c r="I118" s="64">
        <f>6.9696 * CHOOSE(CONTROL!$C$22, $C$13, 100%, $E$13)</f>
        <v>6.9695999999999998</v>
      </c>
      <c r="J118" s="64">
        <f>3.8423 * CHOOSE(CONTROL!$C$22, $C$13, 100%, $E$13)</f>
        <v>3.8422999999999998</v>
      </c>
      <c r="K118" s="64">
        <f>3.8425 * CHOOSE(CONTROL!$C$22, $C$13, 100%, $E$13)</f>
        <v>3.8424999999999998</v>
      </c>
      <c r="L118" s="4"/>
      <c r="M118" s="4"/>
      <c r="N118" s="4"/>
    </row>
    <row r="119" spans="1:14" ht="15">
      <c r="A119" s="13">
        <v>45261</v>
      </c>
      <c r="B119" s="63">
        <f>3.3024 * CHOOSE(CONTROL!$C$22, $C$13, 100%, $E$13)</f>
        <v>3.3024</v>
      </c>
      <c r="C119" s="63">
        <f>3.3024 * CHOOSE(CONTROL!$C$22, $C$13, 100%, $E$13)</f>
        <v>3.3024</v>
      </c>
      <c r="D119" s="63">
        <f>3.3224 * CHOOSE(CONTROL!$C$22, $C$13, 100%, $E$13)</f>
        <v>3.3224</v>
      </c>
      <c r="E119" s="64">
        <f>3.8198 * CHOOSE(CONTROL!$C$22, $C$13, 100%, $E$13)</f>
        <v>3.8197999999999999</v>
      </c>
      <c r="F119" s="64">
        <f>3.8198 * CHOOSE(CONTROL!$C$22, $C$13, 100%, $E$13)</f>
        <v>3.8197999999999999</v>
      </c>
      <c r="G119" s="64">
        <f>3.82 * CHOOSE(CONTROL!$C$22, $C$13, 100%, $E$13)</f>
        <v>3.82</v>
      </c>
      <c r="H119" s="64">
        <f>6.9839* CHOOSE(CONTROL!$C$22, $C$13, 100%, $E$13)</f>
        <v>6.9839000000000002</v>
      </c>
      <c r="I119" s="64">
        <f>6.9841 * CHOOSE(CONTROL!$C$22, $C$13, 100%, $E$13)</f>
        <v>6.9840999999999998</v>
      </c>
      <c r="J119" s="64">
        <f>3.8198 * CHOOSE(CONTROL!$C$22, $C$13, 100%, $E$13)</f>
        <v>3.8197999999999999</v>
      </c>
      <c r="K119" s="64">
        <f>3.82 * CHOOSE(CONTROL!$C$22, $C$13, 100%, $E$13)</f>
        <v>3.82</v>
      </c>
      <c r="L119" s="4"/>
      <c r="M119" s="4"/>
      <c r="N119" s="4"/>
    </row>
    <row r="120" spans="1:14" ht="15">
      <c r="A120" s="13">
        <v>45292</v>
      </c>
      <c r="B120" s="63">
        <f>3.3324 * CHOOSE(CONTROL!$C$22, $C$13, 100%, $E$13)</f>
        <v>3.3323999999999998</v>
      </c>
      <c r="C120" s="63">
        <f>3.3324 * CHOOSE(CONTROL!$C$22, $C$13, 100%, $E$13)</f>
        <v>3.3323999999999998</v>
      </c>
      <c r="D120" s="63">
        <f>3.3524 * CHOOSE(CONTROL!$C$22, $C$13, 100%, $E$13)</f>
        <v>3.3523999999999998</v>
      </c>
      <c r="E120" s="64">
        <f>3.8554 * CHOOSE(CONTROL!$C$22, $C$13, 100%, $E$13)</f>
        <v>3.8553999999999999</v>
      </c>
      <c r="F120" s="64">
        <f>3.8554 * CHOOSE(CONTROL!$C$22, $C$13, 100%, $E$13)</f>
        <v>3.8553999999999999</v>
      </c>
      <c r="G120" s="64">
        <f>3.8555 * CHOOSE(CONTROL!$C$22, $C$13, 100%, $E$13)</f>
        <v>3.8555000000000001</v>
      </c>
      <c r="H120" s="64">
        <f>6.9985* CHOOSE(CONTROL!$C$22, $C$13, 100%, $E$13)</f>
        <v>6.9984999999999999</v>
      </c>
      <c r="I120" s="64">
        <f>6.9986 * CHOOSE(CONTROL!$C$22, $C$13, 100%, $E$13)</f>
        <v>6.9985999999999997</v>
      </c>
      <c r="J120" s="64">
        <f>3.8554 * CHOOSE(CONTROL!$C$22, $C$13, 100%, $E$13)</f>
        <v>3.8553999999999999</v>
      </c>
      <c r="K120" s="64">
        <f>3.8555 * CHOOSE(CONTROL!$C$22, $C$13, 100%, $E$13)</f>
        <v>3.8555000000000001</v>
      </c>
      <c r="L120" s="4"/>
      <c r="M120" s="4"/>
      <c r="N120" s="4"/>
    </row>
    <row r="121" spans="1:14" ht="15">
      <c r="A121" s="13">
        <v>45323</v>
      </c>
      <c r="B121" s="63">
        <f>3.3294 * CHOOSE(CONTROL!$C$22, $C$13, 100%, $E$13)</f>
        <v>3.3294000000000001</v>
      </c>
      <c r="C121" s="63">
        <f>3.3294 * CHOOSE(CONTROL!$C$22, $C$13, 100%, $E$13)</f>
        <v>3.3294000000000001</v>
      </c>
      <c r="D121" s="63">
        <f>3.3493 * CHOOSE(CONTROL!$C$22, $C$13, 100%, $E$13)</f>
        <v>3.3492999999999999</v>
      </c>
      <c r="E121" s="64">
        <f>3.8103 * CHOOSE(CONTROL!$C$22, $C$13, 100%, $E$13)</f>
        <v>3.8102999999999998</v>
      </c>
      <c r="F121" s="64">
        <f>3.8103 * CHOOSE(CONTROL!$C$22, $C$13, 100%, $E$13)</f>
        <v>3.8102999999999998</v>
      </c>
      <c r="G121" s="64">
        <f>3.8105 * CHOOSE(CONTROL!$C$22, $C$13, 100%, $E$13)</f>
        <v>3.8105000000000002</v>
      </c>
      <c r="H121" s="64">
        <f>7.013* CHOOSE(CONTROL!$C$22, $C$13, 100%, $E$13)</f>
        <v>7.0129999999999999</v>
      </c>
      <c r="I121" s="64">
        <f>7.0132 * CHOOSE(CONTROL!$C$22, $C$13, 100%, $E$13)</f>
        <v>7.0132000000000003</v>
      </c>
      <c r="J121" s="64">
        <f>3.8103 * CHOOSE(CONTROL!$C$22, $C$13, 100%, $E$13)</f>
        <v>3.8102999999999998</v>
      </c>
      <c r="K121" s="64">
        <f>3.8105 * CHOOSE(CONTROL!$C$22, $C$13, 100%, $E$13)</f>
        <v>3.8105000000000002</v>
      </c>
      <c r="L121" s="4"/>
      <c r="M121" s="4"/>
      <c r="N121" s="4"/>
    </row>
    <row r="122" spans="1:14" ht="15">
      <c r="A122" s="13">
        <v>45352</v>
      </c>
      <c r="B122" s="63">
        <f>3.3263 * CHOOSE(CONTROL!$C$22, $C$13, 100%, $E$13)</f>
        <v>3.3262999999999998</v>
      </c>
      <c r="C122" s="63">
        <f>3.3263 * CHOOSE(CONTROL!$C$22, $C$13, 100%, $E$13)</f>
        <v>3.3262999999999998</v>
      </c>
      <c r="D122" s="63">
        <f>3.3463 * CHOOSE(CONTROL!$C$22, $C$13, 100%, $E$13)</f>
        <v>3.3462999999999998</v>
      </c>
      <c r="E122" s="64">
        <f>3.842 * CHOOSE(CONTROL!$C$22, $C$13, 100%, $E$13)</f>
        <v>3.8420000000000001</v>
      </c>
      <c r="F122" s="64">
        <f>3.842 * CHOOSE(CONTROL!$C$22, $C$13, 100%, $E$13)</f>
        <v>3.8420000000000001</v>
      </c>
      <c r="G122" s="64">
        <f>3.8422 * CHOOSE(CONTROL!$C$22, $C$13, 100%, $E$13)</f>
        <v>3.8422000000000001</v>
      </c>
      <c r="H122" s="64">
        <f>7.0276* CHOOSE(CONTROL!$C$22, $C$13, 100%, $E$13)</f>
        <v>7.0275999999999996</v>
      </c>
      <c r="I122" s="64">
        <f>7.0278 * CHOOSE(CONTROL!$C$22, $C$13, 100%, $E$13)</f>
        <v>7.0278</v>
      </c>
      <c r="J122" s="64">
        <f>3.842 * CHOOSE(CONTROL!$C$22, $C$13, 100%, $E$13)</f>
        <v>3.8420000000000001</v>
      </c>
      <c r="K122" s="64">
        <f>3.8422 * CHOOSE(CONTROL!$C$22, $C$13, 100%, $E$13)</f>
        <v>3.8422000000000001</v>
      </c>
      <c r="L122" s="4"/>
      <c r="M122" s="4"/>
      <c r="N122" s="4"/>
    </row>
    <row r="123" spans="1:14" ht="15">
      <c r="A123" s="13">
        <v>45383</v>
      </c>
      <c r="B123" s="63">
        <f>3.3234 * CHOOSE(CONTROL!$C$22, $C$13, 100%, $E$13)</f>
        <v>3.3233999999999999</v>
      </c>
      <c r="C123" s="63">
        <f>3.3234 * CHOOSE(CONTROL!$C$22, $C$13, 100%, $E$13)</f>
        <v>3.3233999999999999</v>
      </c>
      <c r="D123" s="63">
        <f>3.3433 * CHOOSE(CONTROL!$C$22, $C$13, 100%, $E$13)</f>
        <v>3.3433000000000002</v>
      </c>
      <c r="E123" s="64">
        <f>3.8741 * CHOOSE(CONTROL!$C$22, $C$13, 100%, $E$13)</f>
        <v>3.8740999999999999</v>
      </c>
      <c r="F123" s="64">
        <f>3.8741 * CHOOSE(CONTROL!$C$22, $C$13, 100%, $E$13)</f>
        <v>3.8740999999999999</v>
      </c>
      <c r="G123" s="64">
        <f>3.8743 * CHOOSE(CONTROL!$C$22, $C$13, 100%, $E$13)</f>
        <v>3.8742999999999999</v>
      </c>
      <c r="H123" s="64">
        <f>7.0423* CHOOSE(CONTROL!$C$22, $C$13, 100%, $E$13)</f>
        <v>7.0423</v>
      </c>
      <c r="I123" s="64">
        <f>7.0425 * CHOOSE(CONTROL!$C$22, $C$13, 100%, $E$13)</f>
        <v>7.0425000000000004</v>
      </c>
      <c r="J123" s="64">
        <f>3.8741 * CHOOSE(CONTROL!$C$22, $C$13, 100%, $E$13)</f>
        <v>3.8740999999999999</v>
      </c>
      <c r="K123" s="64">
        <f>3.8743 * CHOOSE(CONTROL!$C$22, $C$13, 100%, $E$13)</f>
        <v>3.8742999999999999</v>
      </c>
      <c r="L123" s="4"/>
      <c r="M123" s="4"/>
      <c r="N123" s="4"/>
    </row>
    <row r="124" spans="1:14" ht="15">
      <c r="A124" s="13">
        <v>45413</v>
      </c>
      <c r="B124" s="63">
        <f>3.3234 * CHOOSE(CONTROL!$C$22, $C$13, 100%, $E$13)</f>
        <v>3.3233999999999999</v>
      </c>
      <c r="C124" s="63">
        <f>3.3234 * CHOOSE(CONTROL!$C$22, $C$13, 100%, $E$13)</f>
        <v>3.3233999999999999</v>
      </c>
      <c r="D124" s="63">
        <f>3.3633 * CHOOSE(CONTROL!$C$22, $C$13, 100%, $E$13)</f>
        <v>3.3633000000000002</v>
      </c>
      <c r="E124" s="64">
        <f>3.8877 * CHOOSE(CONTROL!$C$22, $C$13, 100%, $E$13)</f>
        <v>3.8877000000000002</v>
      </c>
      <c r="F124" s="64">
        <f>3.8877 * CHOOSE(CONTROL!$C$22, $C$13, 100%, $E$13)</f>
        <v>3.8877000000000002</v>
      </c>
      <c r="G124" s="64">
        <f>3.8902 * CHOOSE(CONTROL!$C$22, $C$13, 100%, $E$13)</f>
        <v>3.8902000000000001</v>
      </c>
      <c r="H124" s="64">
        <f>7.057* CHOOSE(CONTROL!$C$22, $C$13, 100%, $E$13)</f>
        <v>7.0570000000000004</v>
      </c>
      <c r="I124" s="64">
        <f>7.0594 * CHOOSE(CONTROL!$C$22, $C$13, 100%, $E$13)</f>
        <v>7.0594000000000001</v>
      </c>
      <c r="J124" s="64">
        <f>3.8877 * CHOOSE(CONTROL!$C$22, $C$13, 100%, $E$13)</f>
        <v>3.8877000000000002</v>
      </c>
      <c r="K124" s="64">
        <f>3.8902 * CHOOSE(CONTROL!$C$22, $C$13, 100%, $E$13)</f>
        <v>3.8902000000000001</v>
      </c>
      <c r="L124" s="4"/>
      <c r="M124" s="4"/>
      <c r="N124" s="4"/>
    </row>
    <row r="125" spans="1:14" ht="15">
      <c r="A125" s="13">
        <v>45444</v>
      </c>
      <c r="B125" s="63">
        <f>3.3294 * CHOOSE(CONTROL!$C$22, $C$13, 100%, $E$13)</f>
        <v>3.3294000000000001</v>
      </c>
      <c r="C125" s="63">
        <f>3.3294 * CHOOSE(CONTROL!$C$22, $C$13, 100%, $E$13)</f>
        <v>3.3294000000000001</v>
      </c>
      <c r="D125" s="63">
        <f>3.3694 * CHOOSE(CONTROL!$C$22, $C$13, 100%, $E$13)</f>
        <v>3.3694000000000002</v>
      </c>
      <c r="E125" s="64">
        <f>3.8784 * CHOOSE(CONTROL!$C$22, $C$13, 100%, $E$13)</f>
        <v>3.8784000000000001</v>
      </c>
      <c r="F125" s="64">
        <f>3.8784 * CHOOSE(CONTROL!$C$22, $C$13, 100%, $E$13)</f>
        <v>3.8784000000000001</v>
      </c>
      <c r="G125" s="64">
        <f>3.8808 * CHOOSE(CONTROL!$C$22, $C$13, 100%, $E$13)</f>
        <v>3.8807999999999998</v>
      </c>
      <c r="H125" s="64">
        <f>7.0717* CHOOSE(CONTROL!$C$22, $C$13, 100%, $E$13)</f>
        <v>7.0716999999999999</v>
      </c>
      <c r="I125" s="64">
        <f>7.0741 * CHOOSE(CONTROL!$C$22, $C$13, 100%, $E$13)</f>
        <v>7.0740999999999996</v>
      </c>
      <c r="J125" s="64">
        <f>3.8784 * CHOOSE(CONTROL!$C$22, $C$13, 100%, $E$13)</f>
        <v>3.8784000000000001</v>
      </c>
      <c r="K125" s="64">
        <f>3.8808 * CHOOSE(CONTROL!$C$22, $C$13, 100%, $E$13)</f>
        <v>3.8807999999999998</v>
      </c>
      <c r="L125" s="4"/>
      <c r="M125" s="4"/>
      <c r="N125" s="4"/>
    </row>
    <row r="126" spans="1:14" ht="15">
      <c r="A126" s="13">
        <v>45474</v>
      </c>
      <c r="B126" s="63">
        <f>3.3849 * CHOOSE(CONTROL!$C$22, $C$13, 100%, $E$13)</f>
        <v>3.3849</v>
      </c>
      <c r="C126" s="63">
        <f>3.3849 * CHOOSE(CONTROL!$C$22, $C$13, 100%, $E$13)</f>
        <v>3.3849</v>
      </c>
      <c r="D126" s="63">
        <f>3.4248 * CHOOSE(CONTROL!$C$22, $C$13, 100%, $E$13)</f>
        <v>3.4247999999999998</v>
      </c>
      <c r="E126" s="64">
        <f>3.9401 * CHOOSE(CONTROL!$C$22, $C$13, 100%, $E$13)</f>
        <v>3.9401000000000002</v>
      </c>
      <c r="F126" s="64">
        <f>3.9401 * CHOOSE(CONTROL!$C$22, $C$13, 100%, $E$13)</f>
        <v>3.9401000000000002</v>
      </c>
      <c r="G126" s="64">
        <f>3.9425 * CHOOSE(CONTROL!$C$22, $C$13, 100%, $E$13)</f>
        <v>3.9424999999999999</v>
      </c>
      <c r="H126" s="64">
        <f>7.0864* CHOOSE(CONTROL!$C$22, $C$13, 100%, $E$13)</f>
        <v>7.0864000000000003</v>
      </c>
      <c r="I126" s="64">
        <f>7.0888 * CHOOSE(CONTROL!$C$22, $C$13, 100%, $E$13)</f>
        <v>7.0888</v>
      </c>
      <c r="J126" s="64">
        <f>3.9401 * CHOOSE(CONTROL!$C$22, $C$13, 100%, $E$13)</f>
        <v>3.9401000000000002</v>
      </c>
      <c r="K126" s="64">
        <f>3.9425 * CHOOSE(CONTROL!$C$22, $C$13, 100%, $E$13)</f>
        <v>3.9424999999999999</v>
      </c>
      <c r="L126" s="4"/>
      <c r="M126" s="4"/>
      <c r="N126" s="4"/>
    </row>
    <row r="127" spans="1:14" ht="15">
      <c r="A127" s="13">
        <v>45505</v>
      </c>
      <c r="B127" s="63">
        <f>3.3915 * CHOOSE(CONTROL!$C$22, $C$13, 100%, $E$13)</f>
        <v>3.3915000000000002</v>
      </c>
      <c r="C127" s="63">
        <f>3.3915 * CHOOSE(CONTROL!$C$22, $C$13, 100%, $E$13)</f>
        <v>3.3915000000000002</v>
      </c>
      <c r="D127" s="63">
        <f>3.4315 * CHOOSE(CONTROL!$C$22, $C$13, 100%, $E$13)</f>
        <v>3.4315000000000002</v>
      </c>
      <c r="E127" s="64">
        <f>3.9039 * CHOOSE(CONTROL!$C$22, $C$13, 100%, $E$13)</f>
        <v>3.9039000000000001</v>
      </c>
      <c r="F127" s="64">
        <f>3.9039 * CHOOSE(CONTROL!$C$22, $C$13, 100%, $E$13)</f>
        <v>3.9039000000000001</v>
      </c>
      <c r="G127" s="64">
        <f>3.9063 * CHOOSE(CONTROL!$C$22, $C$13, 100%, $E$13)</f>
        <v>3.9062999999999999</v>
      </c>
      <c r="H127" s="64">
        <f>7.1012* CHOOSE(CONTROL!$C$22, $C$13, 100%, $E$13)</f>
        <v>7.1012000000000004</v>
      </c>
      <c r="I127" s="64">
        <f>7.1036 * CHOOSE(CONTROL!$C$22, $C$13, 100%, $E$13)</f>
        <v>7.1036000000000001</v>
      </c>
      <c r="J127" s="64">
        <f>3.9039 * CHOOSE(CONTROL!$C$22, $C$13, 100%, $E$13)</f>
        <v>3.9039000000000001</v>
      </c>
      <c r="K127" s="64">
        <f>3.9063 * CHOOSE(CONTROL!$C$22, $C$13, 100%, $E$13)</f>
        <v>3.9062999999999999</v>
      </c>
      <c r="L127" s="4"/>
      <c r="M127" s="4"/>
      <c r="N127" s="4"/>
    </row>
    <row r="128" spans="1:14" ht="15">
      <c r="A128" s="13">
        <v>45536</v>
      </c>
      <c r="B128" s="63">
        <f>3.3885 * CHOOSE(CONTROL!$C$22, $C$13, 100%, $E$13)</f>
        <v>3.3885000000000001</v>
      </c>
      <c r="C128" s="63">
        <f>3.3885 * CHOOSE(CONTROL!$C$22, $C$13, 100%, $E$13)</f>
        <v>3.3885000000000001</v>
      </c>
      <c r="D128" s="63">
        <f>3.4284 * CHOOSE(CONTROL!$C$22, $C$13, 100%, $E$13)</f>
        <v>3.4283999999999999</v>
      </c>
      <c r="E128" s="64">
        <f>3.8972 * CHOOSE(CONTROL!$C$22, $C$13, 100%, $E$13)</f>
        <v>3.8972000000000002</v>
      </c>
      <c r="F128" s="64">
        <f>3.8972 * CHOOSE(CONTROL!$C$22, $C$13, 100%, $E$13)</f>
        <v>3.8972000000000002</v>
      </c>
      <c r="G128" s="64">
        <f>3.8997 * CHOOSE(CONTROL!$C$22, $C$13, 100%, $E$13)</f>
        <v>3.8997000000000002</v>
      </c>
      <c r="H128" s="64">
        <f>7.1159* CHOOSE(CONTROL!$C$22, $C$13, 100%, $E$13)</f>
        <v>7.1158999999999999</v>
      </c>
      <c r="I128" s="64">
        <f>7.1184 * CHOOSE(CONTROL!$C$22, $C$13, 100%, $E$13)</f>
        <v>7.1184000000000003</v>
      </c>
      <c r="J128" s="64">
        <f>3.8972 * CHOOSE(CONTROL!$C$22, $C$13, 100%, $E$13)</f>
        <v>3.8972000000000002</v>
      </c>
      <c r="K128" s="64">
        <f>3.8997 * CHOOSE(CONTROL!$C$22, $C$13, 100%, $E$13)</f>
        <v>3.8997000000000002</v>
      </c>
      <c r="L128" s="4"/>
      <c r="M128" s="4"/>
      <c r="N128" s="4"/>
    </row>
    <row r="129" spans="1:14" ht="15">
      <c r="A129" s="13">
        <v>45566</v>
      </c>
      <c r="B129" s="63">
        <f>3.3815 * CHOOSE(CONTROL!$C$22, $C$13, 100%, $E$13)</f>
        <v>3.3815</v>
      </c>
      <c r="C129" s="63">
        <f>3.3815 * CHOOSE(CONTROL!$C$22, $C$13, 100%, $E$13)</f>
        <v>3.3815</v>
      </c>
      <c r="D129" s="63">
        <f>3.4014 * CHOOSE(CONTROL!$C$22, $C$13, 100%, $E$13)</f>
        <v>3.4014000000000002</v>
      </c>
      <c r="E129" s="64">
        <f>3.9019 * CHOOSE(CONTROL!$C$22, $C$13, 100%, $E$13)</f>
        <v>3.9018999999999999</v>
      </c>
      <c r="F129" s="64">
        <f>3.9019 * CHOOSE(CONTROL!$C$22, $C$13, 100%, $E$13)</f>
        <v>3.9018999999999999</v>
      </c>
      <c r="G129" s="64">
        <f>3.9021 * CHOOSE(CONTROL!$C$22, $C$13, 100%, $E$13)</f>
        <v>3.9020999999999999</v>
      </c>
      <c r="H129" s="64">
        <f>7.1308* CHOOSE(CONTROL!$C$22, $C$13, 100%, $E$13)</f>
        <v>7.1307999999999998</v>
      </c>
      <c r="I129" s="64">
        <f>7.1309 * CHOOSE(CONTROL!$C$22, $C$13, 100%, $E$13)</f>
        <v>7.1308999999999996</v>
      </c>
      <c r="J129" s="64">
        <f>3.9019 * CHOOSE(CONTROL!$C$22, $C$13, 100%, $E$13)</f>
        <v>3.9018999999999999</v>
      </c>
      <c r="K129" s="64">
        <f>3.9021 * CHOOSE(CONTROL!$C$22, $C$13, 100%, $E$13)</f>
        <v>3.9020999999999999</v>
      </c>
      <c r="L129" s="4"/>
      <c r="M129" s="4"/>
      <c r="N129" s="4"/>
    </row>
    <row r="130" spans="1:14" ht="15">
      <c r="A130" s="13">
        <v>45597</v>
      </c>
      <c r="B130" s="63">
        <f>3.3845 * CHOOSE(CONTROL!$C$22, $C$13, 100%, $E$13)</f>
        <v>3.3845000000000001</v>
      </c>
      <c r="C130" s="63">
        <f>3.3845 * CHOOSE(CONTROL!$C$22, $C$13, 100%, $E$13)</f>
        <v>3.3845000000000001</v>
      </c>
      <c r="D130" s="63">
        <f>3.4045 * CHOOSE(CONTROL!$C$22, $C$13, 100%, $E$13)</f>
        <v>3.4045000000000001</v>
      </c>
      <c r="E130" s="64">
        <f>3.9131 * CHOOSE(CONTROL!$C$22, $C$13, 100%, $E$13)</f>
        <v>3.9131</v>
      </c>
      <c r="F130" s="64">
        <f>3.9131 * CHOOSE(CONTROL!$C$22, $C$13, 100%, $E$13)</f>
        <v>3.9131</v>
      </c>
      <c r="G130" s="64">
        <f>3.9133 * CHOOSE(CONTROL!$C$22, $C$13, 100%, $E$13)</f>
        <v>3.9133</v>
      </c>
      <c r="H130" s="64">
        <f>7.1456* CHOOSE(CONTROL!$C$22, $C$13, 100%, $E$13)</f>
        <v>7.1456</v>
      </c>
      <c r="I130" s="64">
        <f>7.1458 * CHOOSE(CONTROL!$C$22, $C$13, 100%, $E$13)</f>
        <v>7.1458000000000004</v>
      </c>
      <c r="J130" s="64">
        <f>3.9131 * CHOOSE(CONTROL!$C$22, $C$13, 100%, $E$13)</f>
        <v>3.9131</v>
      </c>
      <c r="K130" s="64">
        <f>3.9133 * CHOOSE(CONTROL!$C$22, $C$13, 100%, $E$13)</f>
        <v>3.9133</v>
      </c>
      <c r="L130" s="4"/>
      <c r="M130" s="4"/>
      <c r="N130" s="4"/>
    </row>
    <row r="131" spans="1:14" ht="15">
      <c r="A131" s="13">
        <v>45627</v>
      </c>
      <c r="B131" s="63">
        <f>3.3845 * CHOOSE(CONTROL!$C$22, $C$13, 100%, $E$13)</f>
        <v>3.3845000000000001</v>
      </c>
      <c r="C131" s="63">
        <f>3.3845 * CHOOSE(CONTROL!$C$22, $C$13, 100%, $E$13)</f>
        <v>3.3845000000000001</v>
      </c>
      <c r="D131" s="63">
        <f>3.4045 * CHOOSE(CONTROL!$C$22, $C$13, 100%, $E$13)</f>
        <v>3.4045000000000001</v>
      </c>
      <c r="E131" s="64">
        <f>3.8904 * CHOOSE(CONTROL!$C$22, $C$13, 100%, $E$13)</f>
        <v>3.8904000000000001</v>
      </c>
      <c r="F131" s="64">
        <f>3.8904 * CHOOSE(CONTROL!$C$22, $C$13, 100%, $E$13)</f>
        <v>3.8904000000000001</v>
      </c>
      <c r="G131" s="64">
        <f>3.8906 * CHOOSE(CONTROL!$C$22, $C$13, 100%, $E$13)</f>
        <v>3.8906000000000001</v>
      </c>
      <c r="H131" s="64">
        <f>7.1605* CHOOSE(CONTROL!$C$22, $C$13, 100%, $E$13)</f>
        <v>7.1604999999999999</v>
      </c>
      <c r="I131" s="64">
        <f>7.1607 * CHOOSE(CONTROL!$C$22, $C$13, 100%, $E$13)</f>
        <v>7.1607000000000003</v>
      </c>
      <c r="J131" s="64">
        <f>3.8904 * CHOOSE(CONTROL!$C$22, $C$13, 100%, $E$13)</f>
        <v>3.8904000000000001</v>
      </c>
      <c r="K131" s="64">
        <f>3.8906 * CHOOSE(CONTROL!$C$22, $C$13, 100%, $E$13)</f>
        <v>3.8906000000000001</v>
      </c>
      <c r="L131" s="4"/>
      <c r="M131" s="4"/>
      <c r="N131" s="4"/>
    </row>
    <row r="132" spans="1:14" ht="15">
      <c r="A132" s="13">
        <v>45658</v>
      </c>
      <c r="B132" s="63">
        <f>3.4166 * CHOOSE(CONTROL!$C$22, $C$13, 100%, $E$13)</f>
        <v>3.4165999999999999</v>
      </c>
      <c r="C132" s="63">
        <f>3.4166 * CHOOSE(CONTROL!$C$22, $C$13, 100%, $E$13)</f>
        <v>3.4165999999999999</v>
      </c>
      <c r="D132" s="63">
        <f>3.4366 * CHOOSE(CONTROL!$C$22, $C$13, 100%, $E$13)</f>
        <v>3.4365999999999999</v>
      </c>
      <c r="E132" s="64">
        <f>3.9232 * CHOOSE(CONTROL!$C$22, $C$13, 100%, $E$13)</f>
        <v>3.9232</v>
      </c>
      <c r="F132" s="64">
        <f>3.9232 * CHOOSE(CONTROL!$C$22, $C$13, 100%, $E$13)</f>
        <v>3.9232</v>
      </c>
      <c r="G132" s="64">
        <f>3.9234 * CHOOSE(CONTROL!$C$22, $C$13, 100%, $E$13)</f>
        <v>3.9234</v>
      </c>
      <c r="H132" s="64">
        <f>7.1754* CHOOSE(CONTROL!$C$22, $C$13, 100%, $E$13)</f>
        <v>7.1753999999999998</v>
      </c>
      <c r="I132" s="64">
        <f>7.1756 * CHOOSE(CONTROL!$C$22, $C$13, 100%, $E$13)</f>
        <v>7.1756000000000002</v>
      </c>
      <c r="J132" s="64">
        <f>3.9232 * CHOOSE(CONTROL!$C$22, $C$13, 100%, $E$13)</f>
        <v>3.9232</v>
      </c>
      <c r="K132" s="64">
        <f>3.9234 * CHOOSE(CONTROL!$C$22, $C$13, 100%, $E$13)</f>
        <v>3.9234</v>
      </c>
      <c r="L132" s="4"/>
      <c r="M132" s="4"/>
      <c r="N132" s="4"/>
    </row>
    <row r="133" spans="1:14" ht="15">
      <c r="A133" s="13">
        <v>45689</v>
      </c>
      <c r="B133" s="63">
        <f>3.4136 * CHOOSE(CONTROL!$C$22, $C$13, 100%, $E$13)</f>
        <v>3.4136000000000002</v>
      </c>
      <c r="C133" s="63">
        <f>3.4136 * CHOOSE(CONTROL!$C$22, $C$13, 100%, $E$13)</f>
        <v>3.4136000000000002</v>
      </c>
      <c r="D133" s="63">
        <f>3.4335 * CHOOSE(CONTROL!$C$22, $C$13, 100%, $E$13)</f>
        <v>3.4335</v>
      </c>
      <c r="E133" s="64">
        <f>3.8779 * CHOOSE(CONTROL!$C$22, $C$13, 100%, $E$13)</f>
        <v>3.8778999999999999</v>
      </c>
      <c r="F133" s="64">
        <f>3.8779 * CHOOSE(CONTROL!$C$22, $C$13, 100%, $E$13)</f>
        <v>3.8778999999999999</v>
      </c>
      <c r="G133" s="64">
        <f>3.8781 * CHOOSE(CONTROL!$C$22, $C$13, 100%, $E$13)</f>
        <v>3.8780999999999999</v>
      </c>
      <c r="H133" s="64">
        <f>7.1904* CHOOSE(CONTROL!$C$22, $C$13, 100%, $E$13)</f>
        <v>7.1904000000000003</v>
      </c>
      <c r="I133" s="64">
        <f>7.1906 * CHOOSE(CONTROL!$C$22, $C$13, 100%, $E$13)</f>
        <v>7.1905999999999999</v>
      </c>
      <c r="J133" s="64">
        <f>3.8779 * CHOOSE(CONTROL!$C$22, $C$13, 100%, $E$13)</f>
        <v>3.8778999999999999</v>
      </c>
      <c r="K133" s="64">
        <f>3.8781 * CHOOSE(CONTROL!$C$22, $C$13, 100%, $E$13)</f>
        <v>3.8780999999999999</v>
      </c>
      <c r="L133" s="4"/>
      <c r="M133" s="4"/>
      <c r="N133" s="4"/>
    </row>
    <row r="134" spans="1:14" ht="15">
      <c r="A134" s="13">
        <v>45717</v>
      </c>
      <c r="B134" s="63">
        <f>3.4105 * CHOOSE(CONTROL!$C$22, $C$13, 100%, $E$13)</f>
        <v>3.4104999999999999</v>
      </c>
      <c r="C134" s="63">
        <f>3.4105 * CHOOSE(CONTROL!$C$22, $C$13, 100%, $E$13)</f>
        <v>3.4104999999999999</v>
      </c>
      <c r="D134" s="63">
        <f>3.4305 * CHOOSE(CONTROL!$C$22, $C$13, 100%, $E$13)</f>
        <v>3.4304999999999999</v>
      </c>
      <c r="E134" s="64">
        <f>3.9098 * CHOOSE(CONTROL!$C$22, $C$13, 100%, $E$13)</f>
        <v>3.9098000000000002</v>
      </c>
      <c r="F134" s="64">
        <f>3.9098 * CHOOSE(CONTROL!$C$22, $C$13, 100%, $E$13)</f>
        <v>3.9098000000000002</v>
      </c>
      <c r="G134" s="64">
        <f>3.91 * CHOOSE(CONTROL!$C$22, $C$13, 100%, $E$13)</f>
        <v>3.91</v>
      </c>
      <c r="H134" s="64">
        <f>7.2054* CHOOSE(CONTROL!$C$22, $C$13, 100%, $E$13)</f>
        <v>7.2054</v>
      </c>
      <c r="I134" s="64">
        <f>7.2055 * CHOOSE(CONTROL!$C$22, $C$13, 100%, $E$13)</f>
        <v>7.2054999999999998</v>
      </c>
      <c r="J134" s="64">
        <f>3.9098 * CHOOSE(CONTROL!$C$22, $C$13, 100%, $E$13)</f>
        <v>3.9098000000000002</v>
      </c>
      <c r="K134" s="64">
        <f>3.91 * CHOOSE(CONTROL!$C$22, $C$13, 100%, $E$13)</f>
        <v>3.91</v>
      </c>
      <c r="L134" s="4"/>
      <c r="M134" s="4"/>
      <c r="N134" s="4"/>
    </row>
    <row r="135" spans="1:14" ht="15">
      <c r="A135" s="13">
        <v>45748</v>
      </c>
      <c r="B135" s="63">
        <f>3.4077 * CHOOSE(CONTROL!$C$22, $C$13, 100%, $E$13)</f>
        <v>3.4077000000000002</v>
      </c>
      <c r="C135" s="63">
        <f>3.4077 * CHOOSE(CONTROL!$C$22, $C$13, 100%, $E$13)</f>
        <v>3.4077000000000002</v>
      </c>
      <c r="D135" s="63">
        <f>3.4276 * CHOOSE(CONTROL!$C$22, $C$13, 100%, $E$13)</f>
        <v>3.4276</v>
      </c>
      <c r="E135" s="64">
        <f>3.9422 * CHOOSE(CONTROL!$C$22, $C$13, 100%, $E$13)</f>
        <v>3.9422000000000001</v>
      </c>
      <c r="F135" s="64">
        <f>3.9422 * CHOOSE(CONTROL!$C$22, $C$13, 100%, $E$13)</f>
        <v>3.9422000000000001</v>
      </c>
      <c r="G135" s="64">
        <f>3.9424 * CHOOSE(CONTROL!$C$22, $C$13, 100%, $E$13)</f>
        <v>3.9424000000000001</v>
      </c>
      <c r="H135" s="64">
        <f>7.2204* CHOOSE(CONTROL!$C$22, $C$13, 100%, $E$13)</f>
        <v>7.2203999999999997</v>
      </c>
      <c r="I135" s="64">
        <f>7.2205 * CHOOSE(CONTROL!$C$22, $C$13, 100%, $E$13)</f>
        <v>7.2205000000000004</v>
      </c>
      <c r="J135" s="64">
        <f>3.9422 * CHOOSE(CONTROL!$C$22, $C$13, 100%, $E$13)</f>
        <v>3.9422000000000001</v>
      </c>
      <c r="K135" s="64">
        <f>3.9424 * CHOOSE(CONTROL!$C$22, $C$13, 100%, $E$13)</f>
        <v>3.9424000000000001</v>
      </c>
      <c r="L135" s="4"/>
      <c r="M135" s="4"/>
      <c r="N135" s="4"/>
    </row>
    <row r="136" spans="1:14" ht="15">
      <c r="A136" s="13">
        <v>45778</v>
      </c>
      <c r="B136" s="63">
        <f>3.4077 * CHOOSE(CONTROL!$C$22, $C$13, 100%, $E$13)</f>
        <v>3.4077000000000002</v>
      </c>
      <c r="C136" s="63">
        <f>3.4077 * CHOOSE(CONTROL!$C$22, $C$13, 100%, $E$13)</f>
        <v>3.4077000000000002</v>
      </c>
      <c r="D136" s="63">
        <f>3.4476 * CHOOSE(CONTROL!$C$22, $C$13, 100%, $E$13)</f>
        <v>3.4476</v>
      </c>
      <c r="E136" s="64">
        <f>3.9559 * CHOOSE(CONTROL!$C$22, $C$13, 100%, $E$13)</f>
        <v>3.9559000000000002</v>
      </c>
      <c r="F136" s="64">
        <f>3.9559 * CHOOSE(CONTROL!$C$22, $C$13, 100%, $E$13)</f>
        <v>3.9559000000000002</v>
      </c>
      <c r="G136" s="64">
        <f>3.9583 * CHOOSE(CONTROL!$C$22, $C$13, 100%, $E$13)</f>
        <v>3.9582999999999999</v>
      </c>
      <c r="H136" s="64">
        <f>7.2354* CHOOSE(CONTROL!$C$22, $C$13, 100%, $E$13)</f>
        <v>7.2354000000000003</v>
      </c>
      <c r="I136" s="64">
        <f>7.2379 * CHOOSE(CONTROL!$C$22, $C$13, 100%, $E$13)</f>
        <v>7.2378999999999998</v>
      </c>
      <c r="J136" s="64">
        <f>3.9559 * CHOOSE(CONTROL!$C$22, $C$13, 100%, $E$13)</f>
        <v>3.9559000000000002</v>
      </c>
      <c r="K136" s="64">
        <f>3.9583 * CHOOSE(CONTROL!$C$22, $C$13, 100%, $E$13)</f>
        <v>3.9582999999999999</v>
      </c>
      <c r="L136" s="4"/>
      <c r="M136" s="4"/>
      <c r="N136" s="4"/>
    </row>
    <row r="137" spans="1:14" ht="15">
      <c r="A137" s="13">
        <v>45809</v>
      </c>
      <c r="B137" s="63">
        <f>3.4137 * CHOOSE(CONTROL!$C$22, $C$13, 100%, $E$13)</f>
        <v>3.4137</v>
      </c>
      <c r="C137" s="63">
        <f>3.4137 * CHOOSE(CONTROL!$C$22, $C$13, 100%, $E$13)</f>
        <v>3.4137</v>
      </c>
      <c r="D137" s="63">
        <f>3.4537 * CHOOSE(CONTROL!$C$22, $C$13, 100%, $E$13)</f>
        <v>3.4537</v>
      </c>
      <c r="E137" s="64">
        <f>3.9464 * CHOOSE(CONTROL!$C$22, $C$13, 100%, $E$13)</f>
        <v>3.9464000000000001</v>
      </c>
      <c r="F137" s="64">
        <f>3.9464 * CHOOSE(CONTROL!$C$22, $C$13, 100%, $E$13)</f>
        <v>3.9464000000000001</v>
      </c>
      <c r="G137" s="64">
        <f>3.9489 * CHOOSE(CONTROL!$C$22, $C$13, 100%, $E$13)</f>
        <v>3.9489000000000001</v>
      </c>
      <c r="H137" s="64">
        <f>7.2505* CHOOSE(CONTROL!$C$22, $C$13, 100%, $E$13)</f>
        <v>7.2504999999999997</v>
      </c>
      <c r="I137" s="64">
        <f>7.2529 * CHOOSE(CONTROL!$C$22, $C$13, 100%, $E$13)</f>
        <v>7.2529000000000003</v>
      </c>
      <c r="J137" s="64">
        <f>3.9464 * CHOOSE(CONTROL!$C$22, $C$13, 100%, $E$13)</f>
        <v>3.9464000000000001</v>
      </c>
      <c r="K137" s="64">
        <f>3.9489 * CHOOSE(CONTROL!$C$22, $C$13, 100%, $E$13)</f>
        <v>3.9489000000000001</v>
      </c>
      <c r="L137" s="4"/>
      <c r="M137" s="4"/>
      <c r="N137" s="4"/>
    </row>
    <row r="138" spans="1:14" ht="15">
      <c r="A138" s="13">
        <v>45839</v>
      </c>
      <c r="B138" s="63">
        <f>3.4735 * CHOOSE(CONTROL!$C$22, $C$13, 100%, $E$13)</f>
        <v>3.4735</v>
      </c>
      <c r="C138" s="63">
        <f>3.4735 * CHOOSE(CONTROL!$C$22, $C$13, 100%, $E$13)</f>
        <v>3.4735</v>
      </c>
      <c r="D138" s="63">
        <f>3.5134 * CHOOSE(CONTROL!$C$22, $C$13, 100%, $E$13)</f>
        <v>3.5133999999999999</v>
      </c>
      <c r="E138" s="64">
        <f>4.0021 * CHOOSE(CONTROL!$C$22, $C$13, 100%, $E$13)</f>
        <v>4.0021000000000004</v>
      </c>
      <c r="F138" s="64">
        <f>4.0021 * CHOOSE(CONTROL!$C$22, $C$13, 100%, $E$13)</f>
        <v>4.0021000000000004</v>
      </c>
      <c r="G138" s="64">
        <f>4.0046 * CHOOSE(CONTROL!$C$22, $C$13, 100%, $E$13)</f>
        <v>4.0045999999999999</v>
      </c>
      <c r="H138" s="64">
        <f>7.2656* CHOOSE(CONTROL!$C$22, $C$13, 100%, $E$13)</f>
        <v>7.2656000000000001</v>
      </c>
      <c r="I138" s="64">
        <f>7.268 * CHOOSE(CONTROL!$C$22, $C$13, 100%, $E$13)</f>
        <v>7.2679999999999998</v>
      </c>
      <c r="J138" s="64">
        <f>4.0021 * CHOOSE(CONTROL!$C$22, $C$13, 100%, $E$13)</f>
        <v>4.0021000000000004</v>
      </c>
      <c r="K138" s="64">
        <f>4.0046 * CHOOSE(CONTROL!$C$22, $C$13, 100%, $E$13)</f>
        <v>4.0045999999999999</v>
      </c>
      <c r="L138" s="4"/>
      <c r="M138" s="4"/>
      <c r="N138" s="4"/>
    </row>
    <row r="139" spans="1:14" ht="15">
      <c r="A139" s="13">
        <v>45870</v>
      </c>
      <c r="B139" s="63">
        <f>3.4802 * CHOOSE(CONTROL!$C$22, $C$13, 100%, $E$13)</f>
        <v>3.4802</v>
      </c>
      <c r="C139" s="63">
        <f>3.4802 * CHOOSE(CONTROL!$C$22, $C$13, 100%, $E$13)</f>
        <v>3.4802</v>
      </c>
      <c r="D139" s="63">
        <f>3.5201 * CHOOSE(CONTROL!$C$22, $C$13, 100%, $E$13)</f>
        <v>3.5200999999999998</v>
      </c>
      <c r="E139" s="64">
        <f>3.9656 * CHOOSE(CONTROL!$C$22, $C$13, 100%, $E$13)</f>
        <v>3.9655999999999998</v>
      </c>
      <c r="F139" s="64">
        <f>3.9656 * CHOOSE(CONTROL!$C$22, $C$13, 100%, $E$13)</f>
        <v>3.9655999999999998</v>
      </c>
      <c r="G139" s="64">
        <f>3.9681 * CHOOSE(CONTROL!$C$22, $C$13, 100%, $E$13)</f>
        <v>3.9681000000000002</v>
      </c>
      <c r="H139" s="64">
        <f>7.2807* CHOOSE(CONTROL!$C$22, $C$13, 100%, $E$13)</f>
        <v>7.2807000000000004</v>
      </c>
      <c r="I139" s="64">
        <f>7.2832 * CHOOSE(CONTROL!$C$22, $C$13, 100%, $E$13)</f>
        <v>7.2831999999999999</v>
      </c>
      <c r="J139" s="64">
        <f>3.9656 * CHOOSE(CONTROL!$C$22, $C$13, 100%, $E$13)</f>
        <v>3.9655999999999998</v>
      </c>
      <c r="K139" s="64">
        <f>3.9681 * CHOOSE(CONTROL!$C$22, $C$13, 100%, $E$13)</f>
        <v>3.9681000000000002</v>
      </c>
      <c r="L139" s="4"/>
      <c r="M139" s="4"/>
      <c r="N139" s="4"/>
    </row>
    <row r="140" spans="1:14" ht="15">
      <c r="A140" s="13">
        <v>45901</v>
      </c>
      <c r="B140" s="63">
        <f>3.4772 * CHOOSE(CONTROL!$C$22, $C$13, 100%, $E$13)</f>
        <v>3.4771999999999998</v>
      </c>
      <c r="C140" s="63">
        <f>3.4772 * CHOOSE(CONTROL!$C$22, $C$13, 100%, $E$13)</f>
        <v>3.4771999999999998</v>
      </c>
      <c r="D140" s="63">
        <f>3.5171 * CHOOSE(CONTROL!$C$22, $C$13, 100%, $E$13)</f>
        <v>3.5171000000000001</v>
      </c>
      <c r="E140" s="64">
        <f>3.959 * CHOOSE(CONTROL!$C$22, $C$13, 100%, $E$13)</f>
        <v>3.9590000000000001</v>
      </c>
      <c r="F140" s="64">
        <f>3.959 * CHOOSE(CONTROL!$C$22, $C$13, 100%, $E$13)</f>
        <v>3.9590000000000001</v>
      </c>
      <c r="G140" s="64">
        <f>3.9614 * CHOOSE(CONTROL!$C$22, $C$13, 100%, $E$13)</f>
        <v>3.9613999999999998</v>
      </c>
      <c r="H140" s="64">
        <f>7.2959* CHOOSE(CONTROL!$C$22, $C$13, 100%, $E$13)</f>
        <v>7.2958999999999996</v>
      </c>
      <c r="I140" s="64">
        <f>7.2983 * CHOOSE(CONTROL!$C$22, $C$13, 100%, $E$13)</f>
        <v>7.2983000000000002</v>
      </c>
      <c r="J140" s="64">
        <f>3.959 * CHOOSE(CONTROL!$C$22, $C$13, 100%, $E$13)</f>
        <v>3.9590000000000001</v>
      </c>
      <c r="K140" s="64">
        <f>3.9614 * CHOOSE(CONTROL!$C$22, $C$13, 100%, $E$13)</f>
        <v>3.9613999999999998</v>
      </c>
      <c r="L140" s="4"/>
      <c r="M140" s="4"/>
      <c r="N140" s="4"/>
    </row>
    <row r="141" spans="1:14" ht="15">
      <c r="A141" s="13">
        <v>45931</v>
      </c>
      <c r="B141" s="63">
        <f>3.4705 * CHOOSE(CONTROL!$C$22, $C$13, 100%, $E$13)</f>
        <v>3.4704999999999999</v>
      </c>
      <c r="C141" s="63">
        <f>3.4705 * CHOOSE(CONTROL!$C$22, $C$13, 100%, $E$13)</f>
        <v>3.4704999999999999</v>
      </c>
      <c r="D141" s="63">
        <f>3.4905 * CHOOSE(CONTROL!$C$22, $C$13, 100%, $E$13)</f>
        <v>3.4904999999999999</v>
      </c>
      <c r="E141" s="64">
        <f>3.9638 * CHOOSE(CONTROL!$C$22, $C$13, 100%, $E$13)</f>
        <v>3.9638</v>
      </c>
      <c r="F141" s="64">
        <f>3.9638 * CHOOSE(CONTROL!$C$22, $C$13, 100%, $E$13)</f>
        <v>3.9638</v>
      </c>
      <c r="G141" s="64">
        <f>3.964 * CHOOSE(CONTROL!$C$22, $C$13, 100%, $E$13)</f>
        <v>3.964</v>
      </c>
      <c r="H141" s="64">
        <f>7.3111* CHOOSE(CONTROL!$C$22, $C$13, 100%, $E$13)</f>
        <v>7.3110999999999997</v>
      </c>
      <c r="I141" s="64">
        <f>7.3113 * CHOOSE(CONTROL!$C$22, $C$13, 100%, $E$13)</f>
        <v>7.3113000000000001</v>
      </c>
      <c r="J141" s="64">
        <f>3.9638 * CHOOSE(CONTROL!$C$22, $C$13, 100%, $E$13)</f>
        <v>3.9638</v>
      </c>
      <c r="K141" s="64">
        <f>3.964 * CHOOSE(CONTROL!$C$22, $C$13, 100%, $E$13)</f>
        <v>3.964</v>
      </c>
      <c r="L141" s="4"/>
      <c r="M141" s="4"/>
      <c r="N141" s="4"/>
    </row>
    <row r="142" spans="1:14" ht="15">
      <c r="A142" s="13">
        <v>45962</v>
      </c>
      <c r="B142" s="63">
        <f>3.4735 * CHOOSE(CONTROL!$C$22, $C$13, 100%, $E$13)</f>
        <v>3.4735</v>
      </c>
      <c r="C142" s="63">
        <f>3.4735 * CHOOSE(CONTROL!$C$22, $C$13, 100%, $E$13)</f>
        <v>3.4735</v>
      </c>
      <c r="D142" s="63">
        <f>3.4935 * CHOOSE(CONTROL!$C$22, $C$13, 100%, $E$13)</f>
        <v>3.4935</v>
      </c>
      <c r="E142" s="64">
        <f>3.9751 * CHOOSE(CONTROL!$C$22, $C$13, 100%, $E$13)</f>
        <v>3.9750999999999999</v>
      </c>
      <c r="F142" s="64">
        <f>3.9751 * CHOOSE(CONTROL!$C$22, $C$13, 100%, $E$13)</f>
        <v>3.9750999999999999</v>
      </c>
      <c r="G142" s="64">
        <f>3.9753 * CHOOSE(CONTROL!$C$22, $C$13, 100%, $E$13)</f>
        <v>3.9752999999999998</v>
      </c>
      <c r="H142" s="64">
        <f>7.3263* CHOOSE(CONTROL!$C$22, $C$13, 100%, $E$13)</f>
        <v>7.3262999999999998</v>
      </c>
      <c r="I142" s="64">
        <f>7.3265 * CHOOSE(CONTROL!$C$22, $C$13, 100%, $E$13)</f>
        <v>7.3265000000000002</v>
      </c>
      <c r="J142" s="64">
        <f>3.9751 * CHOOSE(CONTROL!$C$22, $C$13, 100%, $E$13)</f>
        <v>3.9750999999999999</v>
      </c>
      <c r="K142" s="64">
        <f>3.9753 * CHOOSE(CONTROL!$C$22, $C$13, 100%, $E$13)</f>
        <v>3.9752999999999998</v>
      </c>
    </row>
    <row r="143" spans="1:14" ht="15">
      <c r="A143" s="13">
        <v>45992</v>
      </c>
      <c r="B143" s="63">
        <f>3.4735 * CHOOSE(CONTROL!$C$22, $C$13, 100%, $E$13)</f>
        <v>3.4735</v>
      </c>
      <c r="C143" s="63">
        <f>3.4735 * CHOOSE(CONTROL!$C$22, $C$13, 100%, $E$13)</f>
        <v>3.4735</v>
      </c>
      <c r="D143" s="63">
        <f>3.4935 * CHOOSE(CONTROL!$C$22, $C$13, 100%, $E$13)</f>
        <v>3.4935</v>
      </c>
      <c r="E143" s="64">
        <f>3.9522 * CHOOSE(CONTROL!$C$22, $C$13, 100%, $E$13)</f>
        <v>3.9521999999999999</v>
      </c>
      <c r="F143" s="64">
        <f>3.9522 * CHOOSE(CONTROL!$C$22, $C$13, 100%, $E$13)</f>
        <v>3.9521999999999999</v>
      </c>
      <c r="G143" s="64">
        <f>3.9524 * CHOOSE(CONTROL!$C$22, $C$13, 100%, $E$13)</f>
        <v>3.9523999999999999</v>
      </c>
      <c r="H143" s="64">
        <f>7.3416* CHOOSE(CONTROL!$C$22, $C$13, 100%, $E$13)</f>
        <v>7.3415999999999997</v>
      </c>
      <c r="I143" s="64">
        <f>7.3418 * CHOOSE(CONTROL!$C$22, $C$13, 100%, $E$13)</f>
        <v>7.3418000000000001</v>
      </c>
      <c r="J143" s="64">
        <f>3.9522 * CHOOSE(CONTROL!$C$22, $C$13, 100%, $E$13)</f>
        <v>3.9521999999999999</v>
      </c>
      <c r="K143" s="64">
        <f>3.9524 * CHOOSE(CONTROL!$C$22, $C$13, 100%, $E$13)</f>
        <v>3.9523999999999999</v>
      </c>
    </row>
    <row r="144" spans="1:14" ht="15">
      <c r="A144" s="13">
        <v>46023</v>
      </c>
      <c r="B144" s="63">
        <f>3.4998 * CHOOSE(CONTROL!$C$22, $C$13, 100%, $E$13)</f>
        <v>3.4998</v>
      </c>
      <c r="C144" s="63">
        <f>3.4998 * CHOOSE(CONTROL!$C$22, $C$13, 100%, $E$13)</f>
        <v>3.4998</v>
      </c>
      <c r="D144" s="63">
        <f>3.5198 * CHOOSE(CONTROL!$C$22, $C$13, 100%, $E$13)</f>
        <v>3.5198</v>
      </c>
      <c r="E144" s="64">
        <f>3.9948 * CHOOSE(CONTROL!$C$22, $C$13, 100%, $E$13)</f>
        <v>3.9948000000000001</v>
      </c>
      <c r="F144" s="64">
        <f>3.9948 * CHOOSE(CONTROL!$C$22, $C$13, 100%, $E$13)</f>
        <v>3.9948000000000001</v>
      </c>
      <c r="G144" s="64">
        <f>3.995 * CHOOSE(CONTROL!$C$22, $C$13, 100%, $E$13)</f>
        <v>3.9950000000000001</v>
      </c>
      <c r="H144" s="64">
        <f>7.3569* CHOOSE(CONTROL!$C$22, $C$13, 100%, $E$13)</f>
        <v>7.3569000000000004</v>
      </c>
      <c r="I144" s="64">
        <f>7.3571 * CHOOSE(CONTROL!$C$22, $C$13, 100%, $E$13)</f>
        <v>7.3571</v>
      </c>
      <c r="J144" s="64">
        <f>3.9948 * CHOOSE(CONTROL!$C$22, $C$13, 100%, $E$13)</f>
        <v>3.9948000000000001</v>
      </c>
      <c r="K144" s="64">
        <f>3.995 * CHOOSE(CONTROL!$C$22, $C$13, 100%, $E$13)</f>
        <v>3.9950000000000001</v>
      </c>
    </row>
    <row r="145" spans="1:11" ht="15">
      <c r="A145" s="13">
        <v>46054</v>
      </c>
      <c r="B145" s="63">
        <f>3.4968 * CHOOSE(CONTROL!$C$22, $C$13, 100%, $E$13)</f>
        <v>3.4967999999999999</v>
      </c>
      <c r="C145" s="63">
        <f>3.4968 * CHOOSE(CONTROL!$C$22, $C$13, 100%, $E$13)</f>
        <v>3.4967999999999999</v>
      </c>
      <c r="D145" s="63">
        <f>3.5167 * CHOOSE(CONTROL!$C$22, $C$13, 100%, $E$13)</f>
        <v>3.5167000000000002</v>
      </c>
      <c r="E145" s="64">
        <f>3.9484 * CHOOSE(CONTROL!$C$22, $C$13, 100%, $E$13)</f>
        <v>3.9483999999999999</v>
      </c>
      <c r="F145" s="64">
        <f>3.9484 * CHOOSE(CONTROL!$C$22, $C$13, 100%, $E$13)</f>
        <v>3.9483999999999999</v>
      </c>
      <c r="G145" s="64">
        <f>3.9486 * CHOOSE(CONTROL!$C$22, $C$13, 100%, $E$13)</f>
        <v>3.9485999999999999</v>
      </c>
      <c r="H145" s="64">
        <f>7.3722* CHOOSE(CONTROL!$C$22, $C$13, 100%, $E$13)</f>
        <v>7.3722000000000003</v>
      </c>
      <c r="I145" s="64">
        <f>7.3724 * CHOOSE(CONTROL!$C$22, $C$13, 100%, $E$13)</f>
        <v>7.3723999999999998</v>
      </c>
      <c r="J145" s="64">
        <f>3.9484 * CHOOSE(CONTROL!$C$22, $C$13, 100%, $E$13)</f>
        <v>3.9483999999999999</v>
      </c>
      <c r="K145" s="64">
        <f>3.9486 * CHOOSE(CONTROL!$C$22, $C$13, 100%, $E$13)</f>
        <v>3.9485999999999999</v>
      </c>
    </row>
    <row r="146" spans="1:11" ht="15">
      <c r="A146" s="13">
        <v>46082</v>
      </c>
      <c r="B146" s="63">
        <f>3.4937 * CHOOSE(CONTROL!$C$22, $C$13, 100%, $E$13)</f>
        <v>3.4937</v>
      </c>
      <c r="C146" s="63">
        <f>3.4937 * CHOOSE(CONTROL!$C$22, $C$13, 100%, $E$13)</f>
        <v>3.4937</v>
      </c>
      <c r="D146" s="63">
        <f>3.5137 * CHOOSE(CONTROL!$C$22, $C$13, 100%, $E$13)</f>
        <v>3.5137</v>
      </c>
      <c r="E146" s="64">
        <f>3.9812 * CHOOSE(CONTROL!$C$22, $C$13, 100%, $E$13)</f>
        <v>3.9811999999999999</v>
      </c>
      <c r="F146" s="64">
        <f>3.9812 * CHOOSE(CONTROL!$C$22, $C$13, 100%, $E$13)</f>
        <v>3.9811999999999999</v>
      </c>
      <c r="G146" s="64">
        <f>3.9814 * CHOOSE(CONTROL!$C$22, $C$13, 100%, $E$13)</f>
        <v>3.9813999999999998</v>
      </c>
      <c r="H146" s="64">
        <f>7.3876* CHOOSE(CONTROL!$C$22, $C$13, 100%, $E$13)</f>
        <v>7.3875999999999999</v>
      </c>
      <c r="I146" s="64">
        <f>7.3877 * CHOOSE(CONTROL!$C$22, $C$13, 100%, $E$13)</f>
        <v>7.3876999999999997</v>
      </c>
      <c r="J146" s="64">
        <f>3.9812 * CHOOSE(CONTROL!$C$22, $C$13, 100%, $E$13)</f>
        <v>3.9811999999999999</v>
      </c>
      <c r="K146" s="64">
        <f>3.9814 * CHOOSE(CONTROL!$C$22, $C$13, 100%, $E$13)</f>
        <v>3.9813999999999998</v>
      </c>
    </row>
    <row r="147" spans="1:11" ht="15">
      <c r="A147" s="13">
        <v>46113</v>
      </c>
      <c r="B147" s="63">
        <f>3.491 * CHOOSE(CONTROL!$C$22, $C$13, 100%, $E$13)</f>
        <v>3.4910000000000001</v>
      </c>
      <c r="C147" s="63">
        <f>3.491 * CHOOSE(CONTROL!$C$22, $C$13, 100%, $E$13)</f>
        <v>3.4910000000000001</v>
      </c>
      <c r="D147" s="63">
        <f>3.5109 * CHOOSE(CONTROL!$C$22, $C$13, 100%, $E$13)</f>
        <v>3.5108999999999999</v>
      </c>
      <c r="E147" s="64">
        <f>4.0145 * CHOOSE(CONTROL!$C$22, $C$13, 100%, $E$13)</f>
        <v>4.0145</v>
      </c>
      <c r="F147" s="64">
        <f>4.0145 * CHOOSE(CONTROL!$C$22, $C$13, 100%, $E$13)</f>
        <v>4.0145</v>
      </c>
      <c r="G147" s="64">
        <f>4.0147 * CHOOSE(CONTROL!$C$22, $C$13, 100%, $E$13)</f>
        <v>4.0147000000000004</v>
      </c>
      <c r="H147" s="64">
        <f>7.403* CHOOSE(CONTROL!$C$22, $C$13, 100%, $E$13)</f>
        <v>7.4029999999999996</v>
      </c>
      <c r="I147" s="64">
        <f>7.4031 * CHOOSE(CONTROL!$C$22, $C$13, 100%, $E$13)</f>
        <v>7.4031000000000002</v>
      </c>
      <c r="J147" s="64">
        <f>4.0145 * CHOOSE(CONTROL!$C$22, $C$13, 100%, $E$13)</f>
        <v>4.0145</v>
      </c>
      <c r="K147" s="64">
        <f>4.0147 * CHOOSE(CONTROL!$C$22, $C$13, 100%, $E$13)</f>
        <v>4.0147000000000004</v>
      </c>
    </row>
    <row r="148" spans="1:11" ht="15">
      <c r="A148" s="13">
        <v>46143</v>
      </c>
      <c r="B148" s="63">
        <f>3.491 * CHOOSE(CONTROL!$C$22, $C$13, 100%, $E$13)</f>
        <v>3.4910000000000001</v>
      </c>
      <c r="C148" s="63">
        <f>3.491 * CHOOSE(CONTROL!$C$22, $C$13, 100%, $E$13)</f>
        <v>3.4910000000000001</v>
      </c>
      <c r="D148" s="63">
        <f>3.5309 * CHOOSE(CONTROL!$C$22, $C$13, 100%, $E$13)</f>
        <v>3.5308999999999999</v>
      </c>
      <c r="E148" s="64">
        <f>4.0285 * CHOOSE(CONTROL!$C$22, $C$13, 100%, $E$13)</f>
        <v>4.0285000000000002</v>
      </c>
      <c r="F148" s="64">
        <f>4.0285 * CHOOSE(CONTROL!$C$22, $C$13, 100%, $E$13)</f>
        <v>4.0285000000000002</v>
      </c>
      <c r="G148" s="64">
        <f>4.031 * CHOOSE(CONTROL!$C$22, $C$13, 100%, $E$13)</f>
        <v>4.0309999999999997</v>
      </c>
      <c r="H148" s="64">
        <f>7.4184* CHOOSE(CONTROL!$C$22, $C$13, 100%, $E$13)</f>
        <v>7.4184000000000001</v>
      </c>
      <c r="I148" s="64">
        <f>7.4208 * CHOOSE(CONTROL!$C$22, $C$13, 100%, $E$13)</f>
        <v>7.4207999999999998</v>
      </c>
      <c r="J148" s="64">
        <f>4.0285 * CHOOSE(CONTROL!$C$22, $C$13, 100%, $E$13)</f>
        <v>4.0285000000000002</v>
      </c>
      <c r="K148" s="64">
        <f>4.031 * CHOOSE(CONTROL!$C$22, $C$13, 100%, $E$13)</f>
        <v>4.0309999999999997</v>
      </c>
    </row>
    <row r="149" spans="1:11" ht="15">
      <c r="A149" s="13">
        <v>46174</v>
      </c>
      <c r="B149" s="63">
        <f>3.497 * CHOOSE(CONTROL!$C$22, $C$13, 100%, $E$13)</f>
        <v>3.4969999999999999</v>
      </c>
      <c r="C149" s="63">
        <f>3.497 * CHOOSE(CONTROL!$C$22, $C$13, 100%, $E$13)</f>
        <v>3.4969999999999999</v>
      </c>
      <c r="D149" s="63">
        <f>3.537 * CHOOSE(CONTROL!$C$22, $C$13, 100%, $E$13)</f>
        <v>3.5369999999999999</v>
      </c>
      <c r="E149" s="64">
        <f>4.0187 * CHOOSE(CONTROL!$C$22, $C$13, 100%, $E$13)</f>
        <v>4.0186999999999999</v>
      </c>
      <c r="F149" s="64">
        <f>4.0187 * CHOOSE(CONTROL!$C$22, $C$13, 100%, $E$13)</f>
        <v>4.0186999999999999</v>
      </c>
      <c r="G149" s="64">
        <f>4.0212 * CHOOSE(CONTROL!$C$22, $C$13, 100%, $E$13)</f>
        <v>4.0212000000000003</v>
      </c>
      <c r="H149" s="64">
        <f>7.4338* CHOOSE(CONTROL!$C$22, $C$13, 100%, $E$13)</f>
        <v>7.4337999999999997</v>
      </c>
      <c r="I149" s="64">
        <f>7.4363 * CHOOSE(CONTROL!$C$22, $C$13, 100%, $E$13)</f>
        <v>7.4363000000000001</v>
      </c>
      <c r="J149" s="64">
        <f>4.0187 * CHOOSE(CONTROL!$C$22, $C$13, 100%, $E$13)</f>
        <v>4.0186999999999999</v>
      </c>
      <c r="K149" s="64">
        <f>4.0212 * CHOOSE(CONTROL!$C$22, $C$13, 100%, $E$13)</f>
        <v>4.0212000000000003</v>
      </c>
    </row>
    <row r="150" spans="1:11" ht="15">
      <c r="A150" s="13">
        <v>46204</v>
      </c>
      <c r="B150" s="63">
        <f>3.5437 * CHOOSE(CONTROL!$C$22, $C$13, 100%, $E$13)</f>
        <v>3.5436999999999999</v>
      </c>
      <c r="C150" s="63">
        <f>3.5437 * CHOOSE(CONTROL!$C$22, $C$13, 100%, $E$13)</f>
        <v>3.5436999999999999</v>
      </c>
      <c r="D150" s="63">
        <f>3.5836 * CHOOSE(CONTROL!$C$22, $C$13, 100%, $E$13)</f>
        <v>3.5836000000000001</v>
      </c>
      <c r="E150" s="64">
        <f>4.0789 * CHOOSE(CONTROL!$C$22, $C$13, 100%, $E$13)</f>
        <v>4.0789</v>
      </c>
      <c r="F150" s="64">
        <f>4.0789 * CHOOSE(CONTROL!$C$22, $C$13, 100%, $E$13)</f>
        <v>4.0789</v>
      </c>
      <c r="G150" s="64">
        <f>4.0814 * CHOOSE(CONTROL!$C$22, $C$13, 100%, $E$13)</f>
        <v>4.0814000000000004</v>
      </c>
      <c r="H150" s="64">
        <f>7.4493* CHOOSE(CONTROL!$C$22, $C$13, 100%, $E$13)</f>
        <v>7.4493</v>
      </c>
      <c r="I150" s="64">
        <f>7.4518 * CHOOSE(CONTROL!$C$22, $C$13, 100%, $E$13)</f>
        <v>7.4518000000000004</v>
      </c>
      <c r="J150" s="64">
        <f>4.0789 * CHOOSE(CONTROL!$C$22, $C$13, 100%, $E$13)</f>
        <v>4.0789</v>
      </c>
      <c r="K150" s="64">
        <f>4.0814 * CHOOSE(CONTROL!$C$22, $C$13, 100%, $E$13)</f>
        <v>4.0814000000000004</v>
      </c>
    </row>
    <row r="151" spans="1:11" ht="15">
      <c r="A151" s="13">
        <v>46235</v>
      </c>
      <c r="B151" s="63">
        <f>3.5504 * CHOOSE(CONTROL!$C$22, $C$13, 100%, $E$13)</f>
        <v>3.5503999999999998</v>
      </c>
      <c r="C151" s="63">
        <f>3.5504 * CHOOSE(CONTROL!$C$22, $C$13, 100%, $E$13)</f>
        <v>3.5503999999999998</v>
      </c>
      <c r="D151" s="63">
        <f>3.5903 * CHOOSE(CONTROL!$C$22, $C$13, 100%, $E$13)</f>
        <v>3.5903</v>
      </c>
      <c r="E151" s="64">
        <f>4.0414 * CHOOSE(CONTROL!$C$22, $C$13, 100%, $E$13)</f>
        <v>4.0414000000000003</v>
      </c>
      <c r="F151" s="64">
        <f>4.0414 * CHOOSE(CONTROL!$C$22, $C$13, 100%, $E$13)</f>
        <v>4.0414000000000003</v>
      </c>
      <c r="G151" s="64">
        <f>4.0439 * CHOOSE(CONTROL!$C$22, $C$13, 100%, $E$13)</f>
        <v>4.0438999999999998</v>
      </c>
      <c r="H151" s="64">
        <f>7.4648* CHOOSE(CONTROL!$C$22, $C$13, 100%, $E$13)</f>
        <v>7.4648000000000003</v>
      </c>
      <c r="I151" s="64">
        <f>7.4673 * CHOOSE(CONTROL!$C$22, $C$13, 100%, $E$13)</f>
        <v>7.4672999999999998</v>
      </c>
      <c r="J151" s="64">
        <f>4.0414 * CHOOSE(CONTROL!$C$22, $C$13, 100%, $E$13)</f>
        <v>4.0414000000000003</v>
      </c>
      <c r="K151" s="64">
        <f>4.0439 * CHOOSE(CONTROL!$C$22, $C$13, 100%, $E$13)</f>
        <v>4.0438999999999998</v>
      </c>
    </row>
    <row r="152" spans="1:11" ht="15">
      <c r="A152" s="13">
        <v>46266</v>
      </c>
      <c r="B152" s="63">
        <f>3.5473 * CHOOSE(CONTROL!$C$22, $C$13, 100%, $E$13)</f>
        <v>3.5472999999999999</v>
      </c>
      <c r="C152" s="63">
        <f>3.5473 * CHOOSE(CONTROL!$C$22, $C$13, 100%, $E$13)</f>
        <v>3.5472999999999999</v>
      </c>
      <c r="D152" s="63">
        <f>3.5873 * CHOOSE(CONTROL!$C$22, $C$13, 100%, $E$13)</f>
        <v>3.5872999999999999</v>
      </c>
      <c r="E152" s="64">
        <f>4.0346 * CHOOSE(CONTROL!$C$22, $C$13, 100%, $E$13)</f>
        <v>4.0346000000000002</v>
      </c>
      <c r="F152" s="64">
        <f>4.0346 * CHOOSE(CONTROL!$C$22, $C$13, 100%, $E$13)</f>
        <v>4.0346000000000002</v>
      </c>
      <c r="G152" s="64">
        <f>4.037 * CHOOSE(CONTROL!$C$22, $C$13, 100%, $E$13)</f>
        <v>4.0369999999999999</v>
      </c>
      <c r="H152" s="64">
        <f>7.4804* CHOOSE(CONTROL!$C$22, $C$13, 100%, $E$13)</f>
        <v>7.4804000000000004</v>
      </c>
      <c r="I152" s="64">
        <f>7.4828 * CHOOSE(CONTROL!$C$22, $C$13, 100%, $E$13)</f>
        <v>7.4828000000000001</v>
      </c>
      <c r="J152" s="64">
        <f>4.0346 * CHOOSE(CONTROL!$C$22, $C$13, 100%, $E$13)</f>
        <v>4.0346000000000002</v>
      </c>
      <c r="K152" s="64">
        <f>4.037 * CHOOSE(CONTROL!$C$22, $C$13, 100%, $E$13)</f>
        <v>4.0369999999999999</v>
      </c>
    </row>
    <row r="153" spans="1:11" ht="15">
      <c r="A153" s="13">
        <v>46296</v>
      </c>
      <c r="B153" s="63">
        <f>3.541 * CHOOSE(CONTROL!$C$22, $C$13, 100%, $E$13)</f>
        <v>3.5409999999999999</v>
      </c>
      <c r="C153" s="63">
        <f>3.541 * CHOOSE(CONTROL!$C$22, $C$13, 100%, $E$13)</f>
        <v>3.5409999999999999</v>
      </c>
      <c r="D153" s="63">
        <f>3.5609 * CHOOSE(CONTROL!$C$22, $C$13, 100%, $E$13)</f>
        <v>3.5609000000000002</v>
      </c>
      <c r="E153" s="64">
        <f>4.0399 * CHOOSE(CONTROL!$C$22, $C$13, 100%, $E$13)</f>
        <v>4.0399000000000003</v>
      </c>
      <c r="F153" s="64">
        <f>4.0399 * CHOOSE(CONTROL!$C$22, $C$13, 100%, $E$13)</f>
        <v>4.0399000000000003</v>
      </c>
      <c r="G153" s="64">
        <f>4.0401 * CHOOSE(CONTROL!$C$22, $C$13, 100%, $E$13)</f>
        <v>4.0400999999999998</v>
      </c>
      <c r="H153" s="64">
        <f>7.496* CHOOSE(CONTROL!$C$22, $C$13, 100%, $E$13)</f>
        <v>7.4960000000000004</v>
      </c>
      <c r="I153" s="64">
        <f>7.4962 * CHOOSE(CONTROL!$C$22, $C$13, 100%, $E$13)</f>
        <v>7.4962</v>
      </c>
      <c r="J153" s="64">
        <f>4.0399 * CHOOSE(CONTROL!$C$22, $C$13, 100%, $E$13)</f>
        <v>4.0399000000000003</v>
      </c>
      <c r="K153" s="64">
        <f>4.0401 * CHOOSE(CONTROL!$C$22, $C$13, 100%, $E$13)</f>
        <v>4.0400999999999998</v>
      </c>
    </row>
    <row r="154" spans="1:11" ht="15">
      <c r="A154" s="13">
        <v>46327</v>
      </c>
      <c r="B154" s="63">
        <f>3.544 * CHOOSE(CONTROL!$C$22, $C$13, 100%, $E$13)</f>
        <v>3.544</v>
      </c>
      <c r="C154" s="63">
        <f>3.544 * CHOOSE(CONTROL!$C$22, $C$13, 100%, $E$13)</f>
        <v>3.544</v>
      </c>
      <c r="D154" s="63">
        <f>3.564 * CHOOSE(CONTROL!$C$22, $C$13, 100%, $E$13)</f>
        <v>3.5640000000000001</v>
      </c>
      <c r="E154" s="64">
        <f>4.0514 * CHOOSE(CONTROL!$C$22, $C$13, 100%, $E$13)</f>
        <v>4.0514000000000001</v>
      </c>
      <c r="F154" s="64">
        <f>4.0514 * CHOOSE(CONTROL!$C$22, $C$13, 100%, $E$13)</f>
        <v>4.0514000000000001</v>
      </c>
      <c r="G154" s="64">
        <f>4.0516 * CHOOSE(CONTROL!$C$22, $C$13, 100%, $E$13)</f>
        <v>4.0515999999999996</v>
      </c>
      <c r="H154" s="64">
        <f>7.5116* CHOOSE(CONTROL!$C$22, $C$13, 100%, $E$13)</f>
        <v>7.5115999999999996</v>
      </c>
      <c r="I154" s="64">
        <f>7.5118 * CHOOSE(CONTROL!$C$22, $C$13, 100%, $E$13)</f>
        <v>7.5118</v>
      </c>
      <c r="J154" s="64">
        <f>4.0514 * CHOOSE(CONTROL!$C$22, $C$13, 100%, $E$13)</f>
        <v>4.0514000000000001</v>
      </c>
      <c r="K154" s="64">
        <f>4.0516 * CHOOSE(CONTROL!$C$22, $C$13, 100%, $E$13)</f>
        <v>4.0515999999999996</v>
      </c>
    </row>
    <row r="155" spans="1:11" ht="15">
      <c r="A155" s="13">
        <v>46357</v>
      </c>
      <c r="B155" s="63">
        <f>3.544 * CHOOSE(CONTROL!$C$22, $C$13, 100%, $E$13)</f>
        <v>3.544</v>
      </c>
      <c r="C155" s="63">
        <f>3.544 * CHOOSE(CONTROL!$C$22, $C$13, 100%, $E$13)</f>
        <v>3.544</v>
      </c>
      <c r="D155" s="63">
        <f>3.564 * CHOOSE(CONTROL!$C$22, $C$13, 100%, $E$13)</f>
        <v>3.5640000000000001</v>
      </c>
      <c r="E155" s="64">
        <f>4.028 * CHOOSE(CONTROL!$C$22, $C$13, 100%, $E$13)</f>
        <v>4.0279999999999996</v>
      </c>
      <c r="F155" s="64">
        <f>4.028 * CHOOSE(CONTROL!$C$22, $C$13, 100%, $E$13)</f>
        <v>4.0279999999999996</v>
      </c>
      <c r="G155" s="64">
        <f>4.0282 * CHOOSE(CONTROL!$C$22, $C$13, 100%, $E$13)</f>
        <v>4.0282</v>
      </c>
      <c r="H155" s="64">
        <f>7.5273* CHOOSE(CONTROL!$C$22, $C$13, 100%, $E$13)</f>
        <v>7.5273000000000003</v>
      </c>
      <c r="I155" s="64">
        <f>7.5274 * CHOOSE(CONTROL!$C$22, $C$13, 100%, $E$13)</f>
        <v>7.5274000000000001</v>
      </c>
      <c r="J155" s="64">
        <f>4.028 * CHOOSE(CONTROL!$C$22, $C$13, 100%, $E$13)</f>
        <v>4.0279999999999996</v>
      </c>
      <c r="K155" s="64">
        <f>4.0282 * CHOOSE(CONTROL!$C$22, $C$13, 100%, $E$13)</f>
        <v>4.0282</v>
      </c>
    </row>
    <row r="156" spans="1:11" ht="15">
      <c r="A156" s="13">
        <v>46388</v>
      </c>
      <c r="B156" s="63">
        <f>3.5723 * CHOOSE(CONTROL!$C$22, $C$13, 100%, $E$13)</f>
        <v>3.5722999999999998</v>
      </c>
      <c r="C156" s="63">
        <f>3.5723 * CHOOSE(CONTROL!$C$22, $C$13, 100%, $E$13)</f>
        <v>3.5722999999999998</v>
      </c>
      <c r="D156" s="63">
        <f>3.5923 * CHOOSE(CONTROL!$C$22, $C$13, 100%, $E$13)</f>
        <v>3.5922999999999998</v>
      </c>
      <c r="E156" s="64">
        <f>4.0707 * CHOOSE(CONTROL!$C$22, $C$13, 100%, $E$13)</f>
        <v>4.0707000000000004</v>
      </c>
      <c r="F156" s="64">
        <f>4.0707 * CHOOSE(CONTROL!$C$22, $C$13, 100%, $E$13)</f>
        <v>4.0707000000000004</v>
      </c>
      <c r="G156" s="64">
        <f>4.0708 * CHOOSE(CONTROL!$C$22, $C$13, 100%, $E$13)</f>
        <v>4.0708000000000002</v>
      </c>
      <c r="H156" s="64">
        <f>7.5429* CHOOSE(CONTROL!$C$22, $C$13, 100%, $E$13)</f>
        <v>7.5429000000000004</v>
      </c>
      <c r="I156" s="64">
        <f>7.5431 * CHOOSE(CONTROL!$C$22, $C$13, 100%, $E$13)</f>
        <v>7.5430999999999999</v>
      </c>
      <c r="J156" s="64">
        <f>4.0707 * CHOOSE(CONTROL!$C$22, $C$13, 100%, $E$13)</f>
        <v>4.0707000000000004</v>
      </c>
      <c r="K156" s="64">
        <f>4.0708 * CHOOSE(CONTROL!$C$22, $C$13, 100%, $E$13)</f>
        <v>4.0708000000000002</v>
      </c>
    </row>
    <row r="157" spans="1:11" ht="15">
      <c r="A157" s="13">
        <v>46419</v>
      </c>
      <c r="B157" s="63">
        <f>3.5693 * CHOOSE(CONTROL!$C$22, $C$13, 100%, $E$13)</f>
        <v>3.5693000000000001</v>
      </c>
      <c r="C157" s="63">
        <f>3.5693 * CHOOSE(CONTROL!$C$22, $C$13, 100%, $E$13)</f>
        <v>3.5693000000000001</v>
      </c>
      <c r="D157" s="63">
        <f>3.5892 * CHOOSE(CONTROL!$C$22, $C$13, 100%, $E$13)</f>
        <v>3.5891999999999999</v>
      </c>
      <c r="E157" s="64">
        <f>4.0231 * CHOOSE(CONTROL!$C$22, $C$13, 100%, $E$13)</f>
        <v>4.0231000000000003</v>
      </c>
      <c r="F157" s="64">
        <f>4.0231 * CHOOSE(CONTROL!$C$22, $C$13, 100%, $E$13)</f>
        <v>4.0231000000000003</v>
      </c>
      <c r="G157" s="64">
        <f>4.0233 * CHOOSE(CONTROL!$C$22, $C$13, 100%, $E$13)</f>
        <v>4.0232999999999999</v>
      </c>
      <c r="H157" s="64">
        <f>7.5586* CHOOSE(CONTROL!$C$22, $C$13, 100%, $E$13)</f>
        <v>7.5586000000000002</v>
      </c>
      <c r="I157" s="64">
        <f>7.5588 * CHOOSE(CONTROL!$C$22, $C$13, 100%, $E$13)</f>
        <v>7.5587999999999997</v>
      </c>
      <c r="J157" s="64">
        <f>4.0231 * CHOOSE(CONTROL!$C$22, $C$13, 100%, $E$13)</f>
        <v>4.0231000000000003</v>
      </c>
      <c r="K157" s="64">
        <f>4.0233 * CHOOSE(CONTROL!$C$22, $C$13, 100%, $E$13)</f>
        <v>4.0232999999999999</v>
      </c>
    </row>
    <row r="158" spans="1:11" ht="15">
      <c r="A158" s="13">
        <v>46447</v>
      </c>
      <c r="B158" s="63">
        <f>3.5662 * CHOOSE(CONTROL!$C$22, $C$13, 100%, $E$13)</f>
        <v>3.5661999999999998</v>
      </c>
      <c r="C158" s="63">
        <f>3.5662 * CHOOSE(CONTROL!$C$22, $C$13, 100%, $E$13)</f>
        <v>3.5661999999999998</v>
      </c>
      <c r="D158" s="63">
        <f>3.5862 * CHOOSE(CONTROL!$C$22, $C$13, 100%, $E$13)</f>
        <v>3.5861999999999998</v>
      </c>
      <c r="E158" s="64">
        <f>4.0568 * CHOOSE(CONTROL!$C$22, $C$13, 100%, $E$13)</f>
        <v>4.0568</v>
      </c>
      <c r="F158" s="64">
        <f>4.0568 * CHOOSE(CONTROL!$C$22, $C$13, 100%, $E$13)</f>
        <v>4.0568</v>
      </c>
      <c r="G158" s="64">
        <f>4.057 * CHOOSE(CONTROL!$C$22, $C$13, 100%, $E$13)</f>
        <v>4.0570000000000004</v>
      </c>
      <c r="H158" s="64">
        <f>7.5744* CHOOSE(CONTROL!$C$22, $C$13, 100%, $E$13)</f>
        <v>7.5743999999999998</v>
      </c>
      <c r="I158" s="64">
        <f>7.5746 * CHOOSE(CONTROL!$C$22, $C$13, 100%, $E$13)</f>
        <v>7.5746000000000002</v>
      </c>
      <c r="J158" s="64">
        <f>4.0568 * CHOOSE(CONTROL!$C$22, $C$13, 100%, $E$13)</f>
        <v>4.0568</v>
      </c>
      <c r="K158" s="64">
        <f>4.057 * CHOOSE(CONTROL!$C$22, $C$13, 100%, $E$13)</f>
        <v>4.0570000000000004</v>
      </c>
    </row>
    <row r="159" spans="1:11" ht="15">
      <c r="A159" s="13">
        <v>46478</v>
      </c>
      <c r="B159" s="63">
        <f>3.5635 * CHOOSE(CONTROL!$C$22, $C$13, 100%, $E$13)</f>
        <v>3.5634999999999999</v>
      </c>
      <c r="C159" s="63">
        <f>3.5635 * CHOOSE(CONTROL!$C$22, $C$13, 100%, $E$13)</f>
        <v>3.5634999999999999</v>
      </c>
      <c r="D159" s="63">
        <f>3.5835 * CHOOSE(CONTROL!$C$22, $C$13, 100%, $E$13)</f>
        <v>3.5834999999999999</v>
      </c>
      <c r="E159" s="64">
        <f>4.091 * CHOOSE(CONTROL!$C$22, $C$13, 100%, $E$13)</f>
        <v>4.0910000000000002</v>
      </c>
      <c r="F159" s="64">
        <f>4.091 * CHOOSE(CONTROL!$C$22, $C$13, 100%, $E$13)</f>
        <v>4.0910000000000002</v>
      </c>
      <c r="G159" s="64">
        <f>4.0912 * CHOOSE(CONTROL!$C$22, $C$13, 100%, $E$13)</f>
        <v>4.0911999999999997</v>
      </c>
      <c r="H159" s="64">
        <f>7.5902* CHOOSE(CONTROL!$C$22, $C$13, 100%, $E$13)</f>
        <v>7.5902000000000003</v>
      </c>
      <c r="I159" s="64">
        <f>7.5904 * CHOOSE(CONTROL!$C$22, $C$13, 100%, $E$13)</f>
        <v>7.5903999999999998</v>
      </c>
      <c r="J159" s="64">
        <f>4.091 * CHOOSE(CONTROL!$C$22, $C$13, 100%, $E$13)</f>
        <v>4.0910000000000002</v>
      </c>
      <c r="K159" s="64">
        <f>4.0912 * CHOOSE(CONTROL!$C$22, $C$13, 100%, $E$13)</f>
        <v>4.0911999999999997</v>
      </c>
    </row>
    <row r="160" spans="1:11" ht="15">
      <c r="A160" s="13">
        <v>46508</v>
      </c>
      <c r="B160" s="63">
        <f>3.5635 * CHOOSE(CONTROL!$C$22, $C$13, 100%, $E$13)</f>
        <v>3.5634999999999999</v>
      </c>
      <c r="C160" s="63">
        <f>3.5635 * CHOOSE(CONTROL!$C$22, $C$13, 100%, $E$13)</f>
        <v>3.5634999999999999</v>
      </c>
      <c r="D160" s="63">
        <f>3.6035 * CHOOSE(CONTROL!$C$22, $C$13, 100%, $E$13)</f>
        <v>3.6034999999999999</v>
      </c>
      <c r="E160" s="64">
        <f>4.1054 * CHOOSE(CONTROL!$C$22, $C$13, 100%, $E$13)</f>
        <v>4.1054000000000004</v>
      </c>
      <c r="F160" s="64">
        <f>4.1054 * CHOOSE(CONTROL!$C$22, $C$13, 100%, $E$13)</f>
        <v>4.1054000000000004</v>
      </c>
      <c r="G160" s="64">
        <f>4.1079 * CHOOSE(CONTROL!$C$22, $C$13, 100%, $E$13)</f>
        <v>4.1078999999999999</v>
      </c>
      <c r="H160" s="64">
        <f>7.606* CHOOSE(CONTROL!$C$22, $C$13, 100%, $E$13)</f>
        <v>7.6059999999999999</v>
      </c>
      <c r="I160" s="64">
        <f>7.6084 * CHOOSE(CONTROL!$C$22, $C$13, 100%, $E$13)</f>
        <v>7.6083999999999996</v>
      </c>
      <c r="J160" s="64">
        <f>4.1054 * CHOOSE(CONTROL!$C$22, $C$13, 100%, $E$13)</f>
        <v>4.1054000000000004</v>
      </c>
      <c r="K160" s="64">
        <f>4.1079 * CHOOSE(CONTROL!$C$22, $C$13, 100%, $E$13)</f>
        <v>4.1078999999999999</v>
      </c>
    </row>
    <row r="161" spans="1:11" ht="15">
      <c r="A161" s="13">
        <v>46539</v>
      </c>
      <c r="B161" s="63">
        <f>3.5696 * CHOOSE(CONTROL!$C$22, $C$13, 100%, $E$13)</f>
        <v>3.5695999999999999</v>
      </c>
      <c r="C161" s="63">
        <f>3.5696 * CHOOSE(CONTROL!$C$22, $C$13, 100%, $E$13)</f>
        <v>3.5695999999999999</v>
      </c>
      <c r="D161" s="63">
        <f>3.6096 * CHOOSE(CONTROL!$C$22, $C$13, 100%, $E$13)</f>
        <v>3.6095999999999999</v>
      </c>
      <c r="E161" s="64">
        <f>4.0953 * CHOOSE(CONTROL!$C$22, $C$13, 100%, $E$13)</f>
        <v>4.0952999999999999</v>
      </c>
      <c r="F161" s="64">
        <f>4.0953 * CHOOSE(CONTROL!$C$22, $C$13, 100%, $E$13)</f>
        <v>4.0952999999999999</v>
      </c>
      <c r="G161" s="64">
        <f>4.0977 * CHOOSE(CONTROL!$C$22, $C$13, 100%, $E$13)</f>
        <v>4.0976999999999997</v>
      </c>
      <c r="H161" s="64">
        <f>7.6218* CHOOSE(CONTROL!$C$22, $C$13, 100%, $E$13)</f>
        <v>7.6218000000000004</v>
      </c>
      <c r="I161" s="64">
        <f>7.6243 * CHOOSE(CONTROL!$C$22, $C$13, 100%, $E$13)</f>
        <v>7.6242999999999999</v>
      </c>
      <c r="J161" s="64">
        <f>4.0953 * CHOOSE(CONTROL!$C$22, $C$13, 100%, $E$13)</f>
        <v>4.0952999999999999</v>
      </c>
      <c r="K161" s="64">
        <f>4.0977 * CHOOSE(CONTROL!$C$22, $C$13, 100%, $E$13)</f>
        <v>4.0976999999999997</v>
      </c>
    </row>
    <row r="162" spans="1:11" ht="15">
      <c r="A162" s="13">
        <v>46569</v>
      </c>
      <c r="B162" s="63">
        <f>3.6201 * CHOOSE(CONTROL!$C$22, $C$13, 100%, $E$13)</f>
        <v>3.6200999999999999</v>
      </c>
      <c r="C162" s="63">
        <f>3.6201 * CHOOSE(CONTROL!$C$22, $C$13, 100%, $E$13)</f>
        <v>3.6200999999999999</v>
      </c>
      <c r="D162" s="63">
        <f>3.66 * CHOOSE(CONTROL!$C$22, $C$13, 100%, $E$13)</f>
        <v>3.66</v>
      </c>
      <c r="E162" s="64">
        <f>4.1543 * CHOOSE(CONTROL!$C$22, $C$13, 100%, $E$13)</f>
        <v>4.1543000000000001</v>
      </c>
      <c r="F162" s="64">
        <f>4.1543 * CHOOSE(CONTROL!$C$22, $C$13, 100%, $E$13)</f>
        <v>4.1543000000000001</v>
      </c>
      <c r="G162" s="64">
        <f>4.1567 * CHOOSE(CONTROL!$C$22, $C$13, 100%, $E$13)</f>
        <v>4.1566999999999998</v>
      </c>
      <c r="H162" s="64">
        <f>7.6377* CHOOSE(CONTROL!$C$22, $C$13, 100%, $E$13)</f>
        <v>7.6376999999999997</v>
      </c>
      <c r="I162" s="64">
        <f>7.6402 * CHOOSE(CONTROL!$C$22, $C$13, 100%, $E$13)</f>
        <v>7.6402000000000001</v>
      </c>
      <c r="J162" s="64">
        <f>4.1543 * CHOOSE(CONTROL!$C$22, $C$13, 100%, $E$13)</f>
        <v>4.1543000000000001</v>
      </c>
      <c r="K162" s="64">
        <f>4.1567 * CHOOSE(CONTROL!$C$22, $C$13, 100%, $E$13)</f>
        <v>4.1566999999999998</v>
      </c>
    </row>
    <row r="163" spans="1:11" ht="15">
      <c r="A163" s="13">
        <v>46600</v>
      </c>
      <c r="B163" s="63">
        <f>3.6268 * CHOOSE(CONTROL!$C$22, $C$13, 100%, $E$13)</f>
        <v>3.6267999999999998</v>
      </c>
      <c r="C163" s="63">
        <f>3.6268 * CHOOSE(CONTROL!$C$22, $C$13, 100%, $E$13)</f>
        <v>3.6267999999999998</v>
      </c>
      <c r="D163" s="63">
        <f>3.6667 * CHOOSE(CONTROL!$C$22, $C$13, 100%, $E$13)</f>
        <v>3.6667000000000001</v>
      </c>
      <c r="E163" s="64">
        <f>4.1157 * CHOOSE(CONTROL!$C$22, $C$13, 100%, $E$13)</f>
        <v>4.1157000000000004</v>
      </c>
      <c r="F163" s="64">
        <f>4.1157 * CHOOSE(CONTROL!$C$22, $C$13, 100%, $E$13)</f>
        <v>4.1157000000000004</v>
      </c>
      <c r="G163" s="64">
        <f>4.1181 * CHOOSE(CONTROL!$C$22, $C$13, 100%, $E$13)</f>
        <v>4.1181000000000001</v>
      </c>
      <c r="H163" s="64">
        <f>7.6536* CHOOSE(CONTROL!$C$22, $C$13, 100%, $E$13)</f>
        <v>7.6536</v>
      </c>
      <c r="I163" s="64">
        <f>7.6561 * CHOOSE(CONTROL!$C$22, $C$13, 100%, $E$13)</f>
        <v>7.6561000000000003</v>
      </c>
      <c r="J163" s="64">
        <f>4.1157 * CHOOSE(CONTROL!$C$22, $C$13, 100%, $E$13)</f>
        <v>4.1157000000000004</v>
      </c>
      <c r="K163" s="64">
        <f>4.1181 * CHOOSE(CONTROL!$C$22, $C$13, 100%, $E$13)</f>
        <v>4.1181000000000001</v>
      </c>
    </row>
    <row r="164" spans="1:11" ht="15">
      <c r="A164" s="13">
        <v>46631</v>
      </c>
      <c r="B164" s="63">
        <f>3.6237 * CHOOSE(CONTROL!$C$22, $C$13, 100%, $E$13)</f>
        <v>3.6236999999999999</v>
      </c>
      <c r="C164" s="63">
        <f>3.6237 * CHOOSE(CONTROL!$C$22, $C$13, 100%, $E$13)</f>
        <v>3.6236999999999999</v>
      </c>
      <c r="D164" s="63">
        <f>3.6637 * CHOOSE(CONTROL!$C$22, $C$13, 100%, $E$13)</f>
        <v>3.6637</v>
      </c>
      <c r="E164" s="64">
        <f>4.1088 * CHOOSE(CONTROL!$C$22, $C$13, 100%, $E$13)</f>
        <v>4.1087999999999996</v>
      </c>
      <c r="F164" s="64">
        <f>4.1088 * CHOOSE(CONTROL!$C$22, $C$13, 100%, $E$13)</f>
        <v>4.1087999999999996</v>
      </c>
      <c r="G164" s="64">
        <f>4.1112 * CHOOSE(CONTROL!$C$22, $C$13, 100%, $E$13)</f>
        <v>4.1112000000000002</v>
      </c>
      <c r="H164" s="64">
        <f>7.6696* CHOOSE(CONTROL!$C$22, $C$13, 100%, $E$13)</f>
        <v>7.6696</v>
      </c>
      <c r="I164" s="64">
        <f>7.672 * CHOOSE(CONTROL!$C$22, $C$13, 100%, $E$13)</f>
        <v>7.6719999999999997</v>
      </c>
      <c r="J164" s="64">
        <f>4.1088 * CHOOSE(CONTROL!$C$22, $C$13, 100%, $E$13)</f>
        <v>4.1087999999999996</v>
      </c>
      <c r="K164" s="64">
        <f>4.1112 * CHOOSE(CONTROL!$C$22, $C$13, 100%, $E$13)</f>
        <v>4.1112000000000002</v>
      </c>
    </row>
    <row r="165" spans="1:11" ht="15">
      <c r="A165" s="13">
        <v>46661</v>
      </c>
      <c r="B165" s="63">
        <f>3.6177 * CHOOSE(CONTROL!$C$22, $C$13, 100%, $E$13)</f>
        <v>3.6177000000000001</v>
      </c>
      <c r="C165" s="63">
        <f>3.6177 * CHOOSE(CONTROL!$C$22, $C$13, 100%, $E$13)</f>
        <v>3.6177000000000001</v>
      </c>
      <c r="D165" s="63">
        <f>3.6377 * CHOOSE(CONTROL!$C$22, $C$13, 100%, $E$13)</f>
        <v>3.6377000000000002</v>
      </c>
      <c r="E165" s="64">
        <f>4.1146 * CHOOSE(CONTROL!$C$22, $C$13, 100%, $E$13)</f>
        <v>4.1146000000000003</v>
      </c>
      <c r="F165" s="64">
        <f>4.1146 * CHOOSE(CONTROL!$C$22, $C$13, 100%, $E$13)</f>
        <v>4.1146000000000003</v>
      </c>
      <c r="G165" s="64">
        <f>4.1148 * CHOOSE(CONTROL!$C$22, $C$13, 100%, $E$13)</f>
        <v>4.1147999999999998</v>
      </c>
      <c r="H165" s="64">
        <f>7.6855* CHOOSE(CONTROL!$C$22, $C$13, 100%, $E$13)</f>
        <v>7.6855000000000002</v>
      </c>
      <c r="I165" s="64">
        <f>7.6857 * CHOOSE(CONTROL!$C$22, $C$13, 100%, $E$13)</f>
        <v>7.6856999999999998</v>
      </c>
      <c r="J165" s="64">
        <f>4.1146 * CHOOSE(CONTROL!$C$22, $C$13, 100%, $E$13)</f>
        <v>4.1146000000000003</v>
      </c>
      <c r="K165" s="64">
        <f>4.1148 * CHOOSE(CONTROL!$C$22, $C$13, 100%, $E$13)</f>
        <v>4.1147999999999998</v>
      </c>
    </row>
    <row r="166" spans="1:11" ht="15">
      <c r="A166" s="13">
        <v>46692</v>
      </c>
      <c r="B166" s="63">
        <f>3.6207 * CHOOSE(CONTROL!$C$22, $C$13, 100%, $E$13)</f>
        <v>3.6206999999999998</v>
      </c>
      <c r="C166" s="63">
        <f>3.6207 * CHOOSE(CONTROL!$C$22, $C$13, 100%, $E$13)</f>
        <v>3.6206999999999998</v>
      </c>
      <c r="D166" s="63">
        <f>3.6407 * CHOOSE(CONTROL!$C$22, $C$13, 100%, $E$13)</f>
        <v>3.6406999999999998</v>
      </c>
      <c r="E166" s="64">
        <f>4.1263 * CHOOSE(CONTROL!$C$22, $C$13, 100%, $E$13)</f>
        <v>4.1262999999999996</v>
      </c>
      <c r="F166" s="64">
        <f>4.1263 * CHOOSE(CONTROL!$C$22, $C$13, 100%, $E$13)</f>
        <v>4.1262999999999996</v>
      </c>
      <c r="G166" s="64">
        <f>4.1265 * CHOOSE(CONTROL!$C$22, $C$13, 100%, $E$13)</f>
        <v>4.1265000000000001</v>
      </c>
      <c r="H166" s="64">
        <f>7.7016* CHOOSE(CONTROL!$C$22, $C$13, 100%, $E$13)</f>
        <v>7.7016</v>
      </c>
      <c r="I166" s="64">
        <f>7.7017 * CHOOSE(CONTROL!$C$22, $C$13, 100%, $E$13)</f>
        <v>7.7016999999999998</v>
      </c>
      <c r="J166" s="64">
        <f>4.1263 * CHOOSE(CONTROL!$C$22, $C$13, 100%, $E$13)</f>
        <v>4.1262999999999996</v>
      </c>
      <c r="K166" s="64">
        <f>4.1265 * CHOOSE(CONTROL!$C$22, $C$13, 100%, $E$13)</f>
        <v>4.1265000000000001</v>
      </c>
    </row>
    <row r="167" spans="1:11" ht="15">
      <c r="A167" s="13">
        <v>46722</v>
      </c>
      <c r="B167" s="63">
        <f>3.6207 * CHOOSE(CONTROL!$C$22, $C$13, 100%, $E$13)</f>
        <v>3.6206999999999998</v>
      </c>
      <c r="C167" s="63">
        <f>3.6207 * CHOOSE(CONTROL!$C$22, $C$13, 100%, $E$13)</f>
        <v>3.6206999999999998</v>
      </c>
      <c r="D167" s="63">
        <f>3.6407 * CHOOSE(CONTROL!$C$22, $C$13, 100%, $E$13)</f>
        <v>3.6406999999999998</v>
      </c>
      <c r="E167" s="64">
        <f>4.1023 * CHOOSE(CONTROL!$C$22, $C$13, 100%, $E$13)</f>
        <v>4.1022999999999996</v>
      </c>
      <c r="F167" s="64">
        <f>4.1023 * CHOOSE(CONTROL!$C$22, $C$13, 100%, $E$13)</f>
        <v>4.1022999999999996</v>
      </c>
      <c r="G167" s="64">
        <f>4.1024 * CHOOSE(CONTROL!$C$22, $C$13, 100%, $E$13)</f>
        <v>4.1024000000000003</v>
      </c>
      <c r="H167" s="64">
        <f>7.7176* CHOOSE(CONTROL!$C$22, $C$13, 100%, $E$13)</f>
        <v>7.7176</v>
      </c>
      <c r="I167" s="64">
        <f>7.7178 * CHOOSE(CONTROL!$C$22, $C$13, 100%, $E$13)</f>
        <v>7.7178000000000004</v>
      </c>
      <c r="J167" s="64">
        <f>4.1023 * CHOOSE(CONTROL!$C$22, $C$13, 100%, $E$13)</f>
        <v>4.1022999999999996</v>
      </c>
      <c r="K167" s="64">
        <f>4.1024 * CHOOSE(CONTROL!$C$22, $C$13, 100%, $E$13)</f>
        <v>4.1024000000000003</v>
      </c>
    </row>
    <row r="168" spans="1:11" ht="15">
      <c r="A168" s="13">
        <v>46753</v>
      </c>
      <c r="B168" s="63">
        <f>3.656 * CHOOSE(CONTROL!$C$22, $C$13, 100%, $E$13)</f>
        <v>3.6560000000000001</v>
      </c>
      <c r="C168" s="63">
        <f>3.656 * CHOOSE(CONTROL!$C$22, $C$13, 100%, $E$13)</f>
        <v>3.6560000000000001</v>
      </c>
      <c r="D168" s="63">
        <f>3.6759 * CHOOSE(CONTROL!$C$22, $C$13, 100%, $E$13)</f>
        <v>3.6758999999999999</v>
      </c>
      <c r="E168" s="64">
        <f>4.1535 * CHOOSE(CONTROL!$C$22, $C$13, 100%, $E$13)</f>
        <v>4.1535000000000002</v>
      </c>
      <c r="F168" s="64">
        <f>4.1535 * CHOOSE(CONTROL!$C$22, $C$13, 100%, $E$13)</f>
        <v>4.1535000000000002</v>
      </c>
      <c r="G168" s="64">
        <f>4.1537 * CHOOSE(CONTROL!$C$22, $C$13, 100%, $E$13)</f>
        <v>4.1536999999999997</v>
      </c>
      <c r="H168" s="64">
        <f>7.7337* CHOOSE(CONTROL!$C$22, $C$13, 100%, $E$13)</f>
        <v>7.7336999999999998</v>
      </c>
      <c r="I168" s="64">
        <f>7.7339 * CHOOSE(CONTROL!$C$22, $C$13, 100%, $E$13)</f>
        <v>7.7339000000000002</v>
      </c>
      <c r="J168" s="64">
        <f>4.1535 * CHOOSE(CONTROL!$C$22, $C$13, 100%, $E$13)</f>
        <v>4.1535000000000002</v>
      </c>
      <c r="K168" s="64">
        <f>4.1537 * CHOOSE(CONTROL!$C$22, $C$13, 100%, $E$13)</f>
        <v>4.1536999999999997</v>
      </c>
    </row>
    <row r="169" spans="1:11" ht="15">
      <c r="A169" s="13">
        <v>46784</v>
      </c>
      <c r="B169" s="63">
        <f>3.6529 * CHOOSE(CONTROL!$C$22, $C$13, 100%, $E$13)</f>
        <v>3.6528999999999998</v>
      </c>
      <c r="C169" s="63">
        <f>3.6529 * CHOOSE(CONTROL!$C$22, $C$13, 100%, $E$13)</f>
        <v>3.6528999999999998</v>
      </c>
      <c r="D169" s="63">
        <f>3.6729 * CHOOSE(CONTROL!$C$22, $C$13, 100%, $E$13)</f>
        <v>3.6728999999999998</v>
      </c>
      <c r="E169" s="64">
        <f>4.1048 * CHOOSE(CONTROL!$C$22, $C$13, 100%, $E$13)</f>
        <v>4.1048</v>
      </c>
      <c r="F169" s="64">
        <f>4.1048 * CHOOSE(CONTROL!$C$22, $C$13, 100%, $E$13)</f>
        <v>4.1048</v>
      </c>
      <c r="G169" s="64">
        <f>4.105 * CHOOSE(CONTROL!$C$22, $C$13, 100%, $E$13)</f>
        <v>4.1050000000000004</v>
      </c>
      <c r="H169" s="64">
        <f>7.7498* CHOOSE(CONTROL!$C$22, $C$13, 100%, $E$13)</f>
        <v>7.7497999999999996</v>
      </c>
      <c r="I169" s="64">
        <f>7.75 * CHOOSE(CONTROL!$C$22, $C$13, 100%, $E$13)</f>
        <v>7.75</v>
      </c>
      <c r="J169" s="64">
        <f>4.1048 * CHOOSE(CONTROL!$C$22, $C$13, 100%, $E$13)</f>
        <v>4.1048</v>
      </c>
      <c r="K169" s="64">
        <f>4.105 * CHOOSE(CONTROL!$C$22, $C$13, 100%, $E$13)</f>
        <v>4.1050000000000004</v>
      </c>
    </row>
    <row r="170" spans="1:11" ht="15">
      <c r="A170" s="13">
        <v>46813</v>
      </c>
      <c r="B170" s="63">
        <f>3.6499 * CHOOSE(CONTROL!$C$22, $C$13, 100%, $E$13)</f>
        <v>3.6499000000000001</v>
      </c>
      <c r="C170" s="63">
        <f>3.6499 * CHOOSE(CONTROL!$C$22, $C$13, 100%, $E$13)</f>
        <v>3.6499000000000001</v>
      </c>
      <c r="D170" s="63">
        <f>3.6699 * CHOOSE(CONTROL!$C$22, $C$13, 100%, $E$13)</f>
        <v>3.6699000000000002</v>
      </c>
      <c r="E170" s="64">
        <f>4.1394 * CHOOSE(CONTROL!$C$22, $C$13, 100%, $E$13)</f>
        <v>4.1394000000000002</v>
      </c>
      <c r="F170" s="64">
        <f>4.1394 * CHOOSE(CONTROL!$C$22, $C$13, 100%, $E$13)</f>
        <v>4.1394000000000002</v>
      </c>
      <c r="G170" s="64">
        <f>4.1396 * CHOOSE(CONTROL!$C$22, $C$13, 100%, $E$13)</f>
        <v>4.1395999999999997</v>
      </c>
      <c r="H170" s="64">
        <f>7.7659* CHOOSE(CONTROL!$C$22, $C$13, 100%, $E$13)</f>
        <v>7.7659000000000002</v>
      </c>
      <c r="I170" s="64">
        <f>7.7661 * CHOOSE(CONTROL!$C$22, $C$13, 100%, $E$13)</f>
        <v>7.7660999999999998</v>
      </c>
      <c r="J170" s="64">
        <f>4.1394 * CHOOSE(CONTROL!$C$22, $C$13, 100%, $E$13)</f>
        <v>4.1394000000000002</v>
      </c>
      <c r="K170" s="64">
        <f>4.1396 * CHOOSE(CONTROL!$C$22, $C$13, 100%, $E$13)</f>
        <v>4.1395999999999997</v>
      </c>
    </row>
    <row r="171" spans="1:11" ht="15">
      <c r="A171" s="13">
        <v>46844</v>
      </c>
      <c r="B171" s="63">
        <f>3.6473 * CHOOSE(CONTROL!$C$22, $C$13, 100%, $E$13)</f>
        <v>3.6473</v>
      </c>
      <c r="C171" s="63">
        <f>3.6473 * CHOOSE(CONTROL!$C$22, $C$13, 100%, $E$13)</f>
        <v>3.6473</v>
      </c>
      <c r="D171" s="63">
        <f>3.6672 * CHOOSE(CONTROL!$C$22, $C$13, 100%, $E$13)</f>
        <v>3.6671999999999998</v>
      </c>
      <c r="E171" s="64">
        <f>4.1746 * CHOOSE(CONTROL!$C$22, $C$13, 100%, $E$13)</f>
        <v>4.1745999999999999</v>
      </c>
      <c r="F171" s="64">
        <f>4.1746 * CHOOSE(CONTROL!$C$22, $C$13, 100%, $E$13)</f>
        <v>4.1745999999999999</v>
      </c>
      <c r="G171" s="64">
        <f>4.1748 * CHOOSE(CONTROL!$C$22, $C$13, 100%, $E$13)</f>
        <v>4.1748000000000003</v>
      </c>
      <c r="H171" s="64">
        <f>7.7821* CHOOSE(CONTROL!$C$22, $C$13, 100%, $E$13)</f>
        <v>7.7820999999999998</v>
      </c>
      <c r="I171" s="64">
        <f>7.7823 * CHOOSE(CONTROL!$C$22, $C$13, 100%, $E$13)</f>
        <v>7.7823000000000002</v>
      </c>
      <c r="J171" s="64">
        <f>4.1746 * CHOOSE(CONTROL!$C$22, $C$13, 100%, $E$13)</f>
        <v>4.1745999999999999</v>
      </c>
      <c r="K171" s="64">
        <f>4.1748 * CHOOSE(CONTROL!$C$22, $C$13, 100%, $E$13)</f>
        <v>4.1748000000000003</v>
      </c>
    </row>
    <row r="172" spans="1:11" ht="15">
      <c r="A172" s="13">
        <v>46874</v>
      </c>
      <c r="B172" s="63">
        <f>3.6473 * CHOOSE(CONTROL!$C$22, $C$13, 100%, $E$13)</f>
        <v>3.6473</v>
      </c>
      <c r="C172" s="63">
        <f>3.6473 * CHOOSE(CONTROL!$C$22, $C$13, 100%, $E$13)</f>
        <v>3.6473</v>
      </c>
      <c r="D172" s="63">
        <f>3.6872 * CHOOSE(CONTROL!$C$22, $C$13, 100%, $E$13)</f>
        <v>3.6871999999999998</v>
      </c>
      <c r="E172" s="64">
        <f>4.1894 * CHOOSE(CONTROL!$C$22, $C$13, 100%, $E$13)</f>
        <v>4.1894</v>
      </c>
      <c r="F172" s="64">
        <f>4.1894 * CHOOSE(CONTROL!$C$22, $C$13, 100%, $E$13)</f>
        <v>4.1894</v>
      </c>
      <c r="G172" s="64">
        <f>4.1918 * CHOOSE(CONTROL!$C$22, $C$13, 100%, $E$13)</f>
        <v>4.1917999999999997</v>
      </c>
      <c r="H172" s="64">
        <f>7.7983* CHOOSE(CONTROL!$C$22, $C$13, 100%, $E$13)</f>
        <v>7.7983000000000002</v>
      </c>
      <c r="I172" s="64">
        <f>7.8008 * CHOOSE(CONTROL!$C$22, $C$13, 100%, $E$13)</f>
        <v>7.8007999999999997</v>
      </c>
      <c r="J172" s="64">
        <f>4.1894 * CHOOSE(CONTROL!$C$22, $C$13, 100%, $E$13)</f>
        <v>4.1894</v>
      </c>
      <c r="K172" s="64">
        <f>4.1918 * CHOOSE(CONTROL!$C$22, $C$13, 100%, $E$13)</f>
        <v>4.1917999999999997</v>
      </c>
    </row>
    <row r="173" spans="1:11" ht="15">
      <c r="A173" s="13">
        <v>46905</v>
      </c>
      <c r="B173" s="63">
        <f>3.6534 * CHOOSE(CONTROL!$C$22, $C$13, 100%, $E$13)</f>
        <v>3.6534</v>
      </c>
      <c r="C173" s="63">
        <f>3.6534 * CHOOSE(CONTROL!$C$22, $C$13, 100%, $E$13)</f>
        <v>3.6534</v>
      </c>
      <c r="D173" s="63">
        <f>3.6933 * CHOOSE(CONTROL!$C$22, $C$13, 100%, $E$13)</f>
        <v>3.6932999999999998</v>
      </c>
      <c r="E173" s="64">
        <f>4.1788 * CHOOSE(CONTROL!$C$22, $C$13, 100%, $E$13)</f>
        <v>4.1787999999999998</v>
      </c>
      <c r="F173" s="64">
        <f>4.1788 * CHOOSE(CONTROL!$C$22, $C$13, 100%, $E$13)</f>
        <v>4.1787999999999998</v>
      </c>
      <c r="G173" s="64">
        <f>4.1813 * CHOOSE(CONTROL!$C$22, $C$13, 100%, $E$13)</f>
        <v>4.1813000000000002</v>
      </c>
      <c r="H173" s="64">
        <f>7.8146* CHOOSE(CONTROL!$C$22, $C$13, 100%, $E$13)</f>
        <v>7.8146000000000004</v>
      </c>
      <c r="I173" s="64">
        <f>7.817 * CHOOSE(CONTROL!$C$22, $C$13, 100%, $E$13)</f>
        <v>7.8170000000000002</v>
      </c>
      <c r="J173" s="64">
        <f>4.1788 * CHOOSE(CONTROL!$C$22, $C$13, 100%, $E$13)</f>
        <v>4.1787999999999998</v>
      </c>
      <c r="K173" s="64">
        <f>4.1813 * CHOOSE(CONTROL!$C$22, $C$13, 100%, $E$13)</f>
        <v>4.1813000000000002</v>
      </c>
    </row>
    <row r="174" spans="1:11" ht="15">
      <c r="A174" s="13">
        <v>46935</v>
      </c>
      <c r="B174" s="63">
        <f>3.7202 * CHOOSE(CONTROL!$C$22, $C$13, 100%, $E$13)</f>
        <v>3.7202000000000002</v>
      </c>
      <c r="C174" s="63">
        <f>3.7202 * CHOOSE(CONTROL!$C$22, $C$13, 100%, $E$13)</f>
        <v>3.7202000000000002</v>
      </c>
      <c r="D174" s="63">
        <f>3.7601 * CHOOSE(CONTROL!$C$22, $C$13, 100%, $E$13)</f>
        <v>3.7601</v>
      </c>
      <c r="E174" s="64">
        <f>4.2571 * CHOOSE(CONTROL!$C$22, $C$13, 100%, $E$13)</f>
        <v>4.2571000000000003</v>
      </c>
      <c r="F174" s="64">
        <f>4.2571 * CHOOSE(CONTROL!$C$22, $C$13, 100%, $E$13)</f>
        <v>4.2571000000000003</v>
      </c>
      <c r="G174" s="64">
        <f>4.2595 * CHOOSE(CONTROL!$C$22, $C$13, 100%, $E$13)</f>
        <v>4.2595000000000001</v>
      </c>
      <c r="H174" s="64">
        <f>7.8309* CHOOSE(CONTROL!$C$22, $C$13, 100%, $E$13)</f>
        <v>7.8308999999999997</v>
      </c>
      <c r="I174" s="64">
        <f>7.8333 * CHOOSE(CONTROL!$C$22, $C$13, 100%, $E$13)</f>
        <v>7.8333000000000004</v>
      </c>
      <c r="J174" s="64">
        <f>4.2571 * CHOOSE(CONTROL!$C$22, $C$13, 100%, $E$13)</f>
        <v>4.2571000000000003</v>
      </c>
      <c r="K174" s="64">
        <f>4.2595 * CHOOSE(CONTROL!$C$22, $C$13, 100%, $E$13)</f>
        <v>4.2595000000000001</v>
      </c>
    </row>
    <row r="175" spans="1:11" ht="15">
      <c r="A175" s="13">
        <v>46966</v>
      </c>
      <c r="B175" s="63">
        <f>3.7269 * CHOOSE(CONTROL!$C$22, $C$13, 100%, $E$13)</f>
        <v>3.7269000000000001</v>
      </c>
      <c r="C175" s="63">
        <f>3.7269 * CHOOSE(CONTROL!$C$22, $C$13, 100%, $E$13)</f>
        <v>3.7269000000000001</v>
      </c>
      <c r="D175" s="63">
        <f>3.7668 * CHOOSE(CONTROL!$C$22, $C$13, 100%, $E$13)</f>
        <v>3.7667999999999999</v>
      </c>
      <c r="E175" s="64">
        <f>4.2174 * CHOOSE(CONTROL!$C$22, $C$13, 100%, $E$13)</f>
        <v>4.2173999999999996</v>
      </c>
      <c r="F175" s="64">
        <f>4.2174 * CHOOSE(CONTROL!$C$22, $C$13, 100%, $E$13)</f>
        <v>4.2173999999999996</v>
      </c>
      <c r="G175" s="64">
        <f>4.2198 * CHOOSE(CONTROL!$C$22, $C$13, 100%, $E$13)</f>
        <v>4.2198000000000002</v>
      </c>
      <c r="H175" s="64">
        <f>7.8472* CHOOSE(CONTROL!$C$22, $C$13, 100%, $E$13)</f>
        <v>7.8472</v>
      </c>
      <c r="I175" s="64">
        <f>7.8496 * CHOOSE(CONTROL!$C$22, $C$13, 100%, $E$13)</f>
        <v>7.8495999999999997</v>
      </c>
      <c r="J175" s="64">
        <f>4.2174 * CHOOSE(CONTROL!$C$22, $C$13, 100%, $E$13)</f>
        <v>4.2173999999999996</v>
      </c>
      <c r="K175" s="64">
        <f>4.2198 * CHOOSE(CONTROL!$C$22, $C$13, 100%, $E$13)</f>
        <v>4.2198000000000002</v>
      </c>
    </row>
    <row r="176" spans="1:11" ht="15">
      <c r="A176" s="13">
        <v>46997</v>
      </c>
      <c r="B176" s="63">
        <f>3.7239 * CHOOSE(CONTROL!$C$22, $C$13, 100%, $E$13)</f>
        <v>3.7239</v>
      </c>
      <c r="C176" s="63">
        <f>3.7239 * CHOOSE(CONTROL!$C$22, $C$13, 100%, $E$13)</f>
        <v>3.7239</v>
      </c>
      <c r="D176" s="63">
        <f>3.7638 * CHOOSE(CONTROL!$C$22, $C$13, 100%, $E$13)</f>
        <v>3.7637999999999998</v>
      </c>
      <c r="E176" s="64">
        <f>4.2103 * CHOOSE(CONTROL!$C$22, $C$13, 100%, $E$13)</f>
        <v>4.2103000000000002</v>
      </c>
      <c r="F176" s="64">
        <f>4.2103 * CHOOSE(CONTROL!$C$22, $C$13, 100%, $E$13)</f>
        <v>4.2103000000000002</v>
      </c>
      <c r="G176" s="64">
        <f>4.2128 * CHOOSE(CONTROL!$C$22, $C$13, 100%, $E$13)</f>
        <v>4.2127999999999997</v>
      </c>
      <c r="H176" s="64">
        <f>7.8635* CHOOSE(CONTROL!$C$22, $C$13, 100%, $E$13)</f>
        <v>7.8635000000000002</v>
      </c>
      <c r="I176" s="64">
        <f>7.866 * CHOOSE(CONTROL!$C$22, $C$13, 100%, $E$13)</f>
        <v>7.8659999999999997</v>
      </c>
      <c r="J176" s="64">
        <f>4.2103 * CHOOSE(CONTROL!$C$22, $C$13, 100%, $E$13)</f>
        <v>4.2103000000000002</v>
      </c>
      <c r="K176" s="64">
        <f>4.2128 * CHOOSE(CONTROL!$C$22, $C$13, 100%, $E$13)</f>
        <v>4.2127999999999997</v>
      </c>
    </row>
    <row r="177" spans="1:11" ht="15">
      <c r="A177" s="13">
        <v>47027</v>
      </c>
      <c r="B177" s="63">
        <f>3.7182 * CHOOSE(CONTROL!$C$22, $C$13, 100%, $E$13)</f>
        <v>3.7181999999999999</v>
      </c>
      <c r="C177" s="63">
        <f>3.7182 * CHOOSE(CONTROL!$C$22, $C$13, 100%, $E$13)</f>
        <v>3.7181999999999999</v>
      </c>
      <c r="D177" s="63">
        <f>3.7381 * CHOOSE(CONTROL!$C$22, $C$13, 100%, $E$13)</f>
        <v>3.7381000000000002</v>
      </c>
      <c r="E177" s="64">
        <f>4.2166 * CHOOSE(CONTROL!$C$22, $C$13, 100%, $E$13)</f>
        <v>4.2165999999999997</v>
      </c>
      <c r="F177" s="64">
        <f>4.2166 * CHOOSE(CONTROL!$C$22, $C$13, 100%, $E$13)</f>
        <v>4.2165999999999997</v>
      </c>
      <c r="G177" s="64">
        <f>4.2168 * CHOOSE(CONTROL!$C$22, $C$13, 100%, $E$13)</f>
        <v>4.2168000000000001</v>
      </c>
      <c r="H177" s="64">
        <f>7.8799* CHOOSE(CONTROL!$C$22, $C$13, 100%, $E$13)</f>
        <v>7.8799000000000001</v>
      </c>
      <c r="I177" s="64">
        <f>7.8801 * CHOOSE(CONTROL!$C$22, $C$13, 100%, $E$13)</f>
        <v>7.8800999999999997</v>
      </c>
      <c r="J177" s="64">
        <f>4.2166 * CHOOSE(CONTROL!$C$22, $C$13, 100%, $E$13)</f>
        <v>4.2165999999999997</v>
      </c>
      <c r="K177" s="64">
        <f>4.2168 * CHOOSE(CONTROL!$C$22, $C$13, 100%, $E$13)</f>
        <v>4.2168000000000001</v>
      </c>
    </row>
    <row r="178" spans="1:11" ht="15">
      <c r="A178" s="13">
        <v>47058</v>
      </c>
      <c r="B178" s="63">
        <f>3.7212 * CHOOSE(CONTROL!$C$22, $C$13, 100%, $E$13)</f>
        <v>3.7212000000000001</v>
      </c>
      <c r="C178" s="63">
        <f>3.7212 * CHOOSE(CONTROL!$C$22, $C$13, 100%, $E$13)</f>
        <v>3.7212000000000001</v>
      </c>
      <c r="D178" s="63">
        <f>3.7412 * CHOOSE(CONTROL!$C$22, $C$13, 100%, $E$13)</f>
        <v>3.7412000000000001</v>
      </c>
      <c r="E178" s="64">
        <f>4.2286 * CHOOSE(CONTROL!$C$22, $C$13, 100%, $E$13)</f>
        <v>4.2286000000000001</v>
      </c>
      <c r="F178" s="64">
        <f>4.2286 * CHOOSE(CONTROL!$C$22, $C$13, 100%, $E$13)</f>
        <v>4.2286000000000001</v>
      </c>
      <c r="G178" s="64">
        <f>4.2288 * CHOOSE(CONTROL!$C$22, $C$13, 100%, $E$13)</f>
        <v>4.2287999999999997</v>
      </c>
      <c r="H178" s="64">
        <f>7.8963* CHOOSE(CONTROL!$C$22, $C$13, 100%, $E$13)</f>
        <v>7.8963000000000001</v>
      </c>
      <c r="I178" s="64">
        <f>7.8965 * CHOOSE(CONTROL!$C$22, $C$13, 100%, $E$13)</f>
        <v>7.8964999999999996</v>
      </c>
      <c r="J178" s="64">
        <f>4.2286 * CHOOSE(CONTROL!$C$22, $C$13, 100%, $E$13)</f>
        <v>4.2286000000000001</v>
      </c>
      <c r="K178" s="64">
        <f>4.2288 * CHOOSE(CONTROL!$C$22, $C$13, 100%, $E$13)</f>
        <v>4.2287999999999997</v>
      </c>
    </row>
    <row r="179" spans="1:11" ht="15">
      <c r="A179" s="13">
        <v>47088</v>
      </c>
      <c r="B179" s="63">
        <f>3.7212 * CHOOSE(CONTROL!$C$22, $C$13, 100%, $E$13)</f>
        <v>3.7212000000000001</v>
      </c>
      <c r="C179" s="63">
        <f>3.7212 * CHOOSE(CONTROL!$C$22, $C$13, 100%, $E$13)</f>
        <v>3.7212000000000001</v>
      </c>
      <c r="D179" s="63">
        <f>3.7412 * CHOOSE(CONTROL!$C$22, $C$13, 100%, $E$13)</f>
        <v>3.7412000000000001</v>
      </c>
      <c r="E179" s="64">
        <f>4.2039 * CHOOSE(CONTROL!$C$22, $C$13, 100%, $E$13)</f>
        <v>4.2039</v>
      </c>
      <c r="F179" s="64">
        <f>4.2039 * CHOOSE(CONTROL!$C$22, $C$13, 100%, $E$13)</f>
        <v>4.2039</v>
      </c>
      <c r="G179" s="64">
        <f>4.2041 * CHOOSE(CONTROL!$C$22, $C$13, 100%, $E$13)</f>
        <v>4.2041000000000004</v>
      </c>
      <c r="H179" s="64">
        <f>7.9128* CHOOSE(CONTROL!$C$22, $C$13, 100%, $E$13)</f>
        <v>7.9127999999999998</v>
      </c>
      <c r="I179" s="64">
        <f>7.9129 * CHOOSE(CONTROL!$C$22, $C$13, 100%, $E$13)</f>
        <v>7.9128999999999996</v>
      </c>
      <c r="J179" s="64">
        <f>4.2039 * CHOOSE(CONTROL!$C$22, $C$13, 100%, $E$13)</f>
        <v>4.2039</v>
      </c>
      <c r="K179" s="64">
        <f>4.2041 * CHOOSE(CONTROL!$C$22, $C$13, 100%, $E$13)</f>
        <v>4.2041000000000004</v>
      </c>
    </row>
    <row r="180" spans="1:11" ht="15">
      <c r="A180" s="13">
        <v>47119</v>
      </c>
      <c r="B180" s="63">
        <f>3.7543 * CHOOSE(CONTROL!$C$22, $C$13, 100%, $E$13)</f>
        <v>3.7543000000000002</v>
      </c>
      <c r="C180" s="63">
        <f>3.7543 * CHOOSE(CONTROL!$C$22, $C$13, 100%, $E$13)</f>
        <v>3.7543000000000002</v>
      </c>
      <c r="D180" s="63">
        <f>3.7743 * CHOOSE(CONTROL!$C$22, $C$13, 100%, $E$13)</f>
        <v>3.7743000000000002</v>
      </c>
      <c r="E180" s="64">
        <f>4.2617 * CHOOSE(CONTROL!$C$22, $C$13, 100%, $E$13)</f>
        <v>4.2617000000000003</v>
      </c>
      <c r="F180" s="64">
        <f>4.2617 * CHOOSE(CONTROL!$C$22, $C$13, 100%, $E$13)</f>
        <v>4.2617000000000003</v>
      </c>
      <c r="G180" s="64">
        <f>4.2619 * CHOOSE(CONTROL!$C$22, $C$13, 100%, $E$13)</f>
        <v>4.2618999999999998</v>
      </c>
      <c r="H180" s="64">
        <f>7.9293* CHOOSE(CONTROL!$C$22, $C$13, 100%, $E$13)</f>
        <v>7.9292999999999996</v>
      </c>
      <c r="I180" s="64">
        <f>7.9294 * CHOOSE(CONTROL!$C$22, $C$13, 100%, $E$13)</f>
        <v>7.9294000000000002</v>
      </c>
      <c r="J180" s="64">
        <f>4.2617 * CHOOSE(CONTROL!$C$22, $C$13, 100%, $E$13)</f>
        <v>4.2617000000000003</v>
      </c>
      <c r="K180" s="64">
        <f>4.2619 * CHOOSE(CONTROL!$C$22, $C$13, 100%, $E$13)</f>
        <v>4.2618999999999998</v>
      </c>
    </row>
    <row r="181" spans="1:11" ht="15">
      <c r="A181" s="13">
        <v>47150</v>
      </c>
      <c r="B181" s="63">
        <f>3.7513 * CHOOSE(CONTROL!$C$22, $C$13, 100%, $E$13)</f>
        <v>3.7513000000000001</v>
      </c>
      <c r="C181" s="63">
        <f>3.7513 * CHOOSE(CONTROL!$C$22, $C$13, 100%, $E$13)</f>
        <v>3.7513000000000001</v>
      </c>
      <c r="D181" s="63">
        <f>3.7712 * CHOOSE(CONTROL!$C$22, $C$13, 100%, $E$13)</f>
        <v>3.7711999999999999</v>
      </c>
      <c r="E181" s="64">
        <f>4.2118 * CHOOSE(CONTROL!$C$22, $C$13, 100%, $E$13)</f>
        <v>4.2118000000000002</v>
      </c>
      <c r="F181" s="64">
        <f>4.2118 * CHOOSE(CONTROL!$C$22, $C$13, 100%, $E$13)</f>
        <v>4.2118000000000002</v>
      </c>
      <c r="G181" s="64">
        <f>4.212 * CHOOSE(CONTROL!$C$22, $C$13, 100%, $E$13)</f>
        <v>4.2119999999999997</v>
      </c>
      <c r="H181" s="64">
        <f>7.9458* CHOOSE(CONTROL!$C$22, $C$13, 100%, $E$13)</f>
        <v>7.9458000000000002</v>
      </c>
      <c r="I181" s="64">
        <f>7.9459 * CHOOSE(CONTROL!$C$22, $C$13, 100%, $E$13)</f>
        <v>7.9459</v>
      </c>
      <c r="J181" s="64">
        <f>4.2118 * CHOOSE(CONTROL!$C$22, $C$13, 100%, $E$13)</f>
        <v>4.2118000000000002</v>
      </c>
      <c r="K181" s="64">
        <f>4.212 * CHOOSE(CONTROL!$C$22, $C$13, 100%, $E$13)</f>
        <v>4.2119999999999997</v>
      </c>
    </row>
    <row r="182" spans="1:11" ht="15">
      <c r="A182" s="13">
        <v>47178</v>
      </c>
      <c r="B182" s="63">
        <f>3.7482 * CHOOSE(CONTROL!$C$22, $C$13, 100%, $E$13)</f>
        <v>3.7482000000000002</v>
      </c>
      <c r="C182" s="63">
        <f>3.7482 * CHOOSE(CONTROL!$C$22, $C$13, 100%, $E$13)</f>
        <v>3.7482000000000002</v>
      </c>
      <c r="D182" s="63">
        <f>3.7682 * CHOOSE(CONTROL!$C$22, $C$13, 100%, $E$13)</f>
        <v>3.7682000000000002</v>
      </c>
      <c r="E182" s="64">
        <f>4.2474 * CHOOSE(CONTROL!$C$22, $C$13, 100%, $E$13)</f>
        <v>4.2473999999999998</v>
      </c>
      <c r="F182" s="64">
        <f>4.2474 * CHOOSE(CONTROL!$C$22, $C$13, 100%, $E$13)</f>
        <v>4.2473999999999998</v>
      </c>
      <c r="G182" s="64">
        <f>4.2476 * CHOOSE(CONTROL!$C$22, $C$13, 100%, $E$13)</f>
        <v>4.2476000000000003</v>
      </c>
      <c r="H182" s="64">
        <f>7.9623* CHOOSE(CONTROL!$C$22, $C$13, 100%, $E$13)</f>
        <v>7.9622999999999999</v>
      </c>
      <c r="I182" s="64">
        <f>7.9625 * CHOOSE(CONTROL!$C$22, $C$13, 100%, $E$13)</f>
        <v>7.9625000000000004</v>
      </c>
      <c r="J182" s="64">
        <f>4.2474 * CHOOSE(CONTROL!$C$22, $C$13, 100%, $E$13)</f>
        <v>4.2473999999999998</v>
      </c>
      <c r="K182" s="64">
        <f>4.2476 * CHOOSE(CONTROL!$C$22, $C$13, 100%, $E$13)</f>
        <v>4.2476000000000003</v>
      </c>
    </row>
    <row r="183" spans="1:11" ht="15">
      <c r="A183" s="13">
        <v>47209</v>
      </c>
      <c r="B183" s="63">
        <f>3.7457 * CHOOSE(CONTROL!$C$22, $C$13, 100%, $E$13)</f>
        <v>3.7456999999999998</v>
      </c>
      <c r="C183" s="63">
        <f>3.7457 * CHOOSE(CONTROL!$C$22, $C$13, 100%, $E$13)</f>
        <v>3.7456999999999998</v>
      </c>
      <c r="D183" s="63">
        <f>3.7657 * CHOOSE(CONTROL!$C$22, $C$13, 100%, $E$13)</f>
        <v>3.7656999999999998</v>
      </c>
      <c r="E183" s="64">
        <f>4.2836 * CHOOSE(CONTROL!$C$22, $C$13, 100%, $E$13)</f>
        <v>4.2835999999999999</v>
      </c>
      <c r="F183" s="64">
        <f>4.2836 * CHOOSE(CONTROL!$C$22, $C$13, 100%, $E$13)</f>
        <v>4.2835999999999999</v>
      </c>
      <c r="G183" s="64">
        <f>4.2838 * CHOOSE(CONTROL!$C$22, $C$13, 100%, $E$13)</f>
        <v>4.2838000000000003</v>
      </c>
      <c r="H183" s="64">
        <f>7.9789* CHOOSE(CONTROL!$C$22, $C$13, 100%, $E$13)</f>
        <v>7.9789000000000003</v>
      </c>
      <c r="I183" s="64">
        <f>7.9791 * CHOOSE(CONTROL!$C$22, $C$13, 100%, $E$13)</f>
        <v>7.9790999999999999</v>
      </c>
      <c r="J183" s="64">
        <f>4.2836 * CHOOSE(CONTROL!$C$22, $C$13, 100%, $E$13)</f>
        <v>4.2835999999999999</v>
      </c>
      <c r="K183" s="64">
        <f>4.2838 * CHOOSE(CONTROL!$C$22, $C$13, 100%, $E$13)</f>
        <v>4.2838000000000003</v>
      </c>
    </row>
    <row r="184" spans="1:11" ht="15">
      <c r="A184" s="13">
        <v>47239</v>
      </c>
      <c r="B184" s="63">
        <f>3.7457 * CHOOSE(CONTROL!$C$22, $C$13, 100%, $E$13)</f>
        <v>3.7456999999999998</v>
      </c>
      <c r="C184" s="63">
        <f>3.7457 * CHOOSE(CONTROL!$C$22, $C$13, 100%, $E$13)</f>
        <v>3.7456999999999998</v>
      </c>
      <c r="D184" s="63">
        <f>3.7856 * CHOOSE(CONTROL!$C$22, $C$13, 100%, $E$13)</f>
        <v>3.7856000000000001</v>
      </c>
      <c r="E184" s="64">
        <f>4.2988 * CHOOSE(CONTROL!$C$22, $C$13, 100%, $E$13)</f>
        <v>4.2988</v>
      </c>
      <c r="F184" s="64">
        <f>4.2988 * CHOOSE(CONTROL!$C$22, $C$13, 100%, $E$13)</f>
        <v>4.2988</v>
      </c>
      <c r="G184" s="64">
        <f>4.3012 * CHOOSE(CONTROL!$C$22, $C$13, 100%, $E$13)</f>
        <v>4.3011999999999997</v>
      </c>
      <c r="H184" s="64">
        <f>7.9955* CHOOSE(CONTROL!$C$22, $C$13, 100%, $E$13)</f>
        <v>7.9954999999999998</v>
      </c>
      <c r="I184" s="64">
        <f>7.998 * CHOOSE(CONTROL!$C$22, $C$13, 100%, $E$13)</f>
        <v>7.9980000000000002</v>
      </c>
      <c r="J184" s="64">
        <f>4.2988 * CHOOSE(CONTROL!$C$22, $C$13, 100%, $E$13)</f>
        <v>4.2988</v>
      </c>
      <c r="K184" s="64">
        <f>4.3012 * CHOOSE(CONTROL!$C$22, $C$13, 100%, $E$13)</f>
        <v>4.3011999999999997</v>
      </c>
    </row>
    <row r="185" spans="1:11" ht="15">
      <c r="A185" s="13">
        <v>47270</v>
      </c>
      <c r="B185" s="63">
        <f>3.7518 * CHOOSE(CONTROL!$C$22, $C$13, 100%, $E$13)</f>
        <v>3.7517999999999998</v>
      </c>
      <c r="C185" s="63">
        <f>3.7518 * CHOOSE(CONTROL!$C$22, $C$13, 100%, $E$13)</f>
        <v>3.7517999999999998</v>
      </c>
      <c r="D185" s="63">
        <f>3.7917 * CHOOSE(CONTROL!$C$22, $C$13, 100%, $E$13)</f>
        <v>3.7917000000000001</v>
      </c>
      <c r="E185" s="64">
        <f>4.2878 * CHOOSE(CONTROL!$C$22, $C$13, 100%, $E$13)</f>
        <v>4.2877999999999998</v>
      </c>
      <c r="F185" s="64">
        <f>4.2878 * CHOOSE(CONTROL!$C$22, $C$13, 100%, $E$13)</f>
        <v>4.2877999999999998</v>
      </c>
      <c r="G185" s="64">
        <f>4.2903 * CHOOSE(CONTROL!$C$22, $C$13, 100%, $E$13)</f>
        <v>4.2903000000000002</v>
      </c>
      <c r="H185" s="64">
        <f>8.0122* CHOOSE(CONTROL!$C$22, $C$13, 100%, $E$13)</f>
        <v>8.0122</v>
      </c>
      <c r="I185" s="64">
        <f>8.0146 * CHOOSE(CONTROL!$C$22, $C$13, 100%, $E$13)</f>
        <v>8.0145999999999997</v>
      </c>
      <c r="J185" s="64">
        <f>4.2878 * CHOOSE(CONTROL!$C$22, $C$13, 100%, $E$13)</f>
        <v>4.2877999999999998</v>
      </c>
      <c r="K185" s="64">
        <f>4.2903 * CHOOSE(CONTROL!$C$22, $C$13, 100%, $E$13)</f>
        <v>4.2903000000000002</v>
      </c>
    </row>
    <row r="186" spans="1:11" ht="15">
      <c r="A186" s="13">
        <v>47300</v>
      </c>
      <c r="B186" s="63">
        <f>3.8127 * CHOOSE(CONTROL!$C$22, $C$13, 100%, $E$13)</f>
        <v>3.8127</v>
      </c>
      <c r="C186" s="63">
        <f>3.8127 * CHOOSE(CONTROL!$C$22, $C$13, 100%, $E$13)</f>
        <v>3.8127</v>
      </c>
      <c r="D186" s="63">
        <f>3.8526 * CHOOSE(CONTROL!$C$22, $C$13, 100%, $E$13)</f>
        <v>3.8525999999999998</v>
      </c>
      <c r="E186" s="64">
        <f>4.3812 * CHOOSE(CONTROL!$C$22, $C$13, 100%, $E$13)</f>
        <v>4.3811999999999998</v>
      </c>
      <c r="F186" s="64">
        <f>4.3812 * CHOOSE(CONTROL!$C$22, $C$13, 100%, $E$13)</f>
        <v>4.3811999999999998</v>
      </c>
      <c r="G186" s="64">
        <f>4.3837 * CHOOSE(CONTROL!$C$22, $C$13, 100%, $E$13)</f>
        <v>4.3837000000000002</v>
      </c>
      <c r="H186" s="64">
        <f>8.0289* CHOOSE(CONTROL!$C$22, $C$13, 100%, $E$13)</f>
        <v>8.0289000000000001</v>
      </c>
      <c r="I186" s="64">
        <f>8.0313 * CHOOSE(CONTROL!$C$22, $C$13, 100%, $E$13)</f>
        <v>8.0312999999999999</v>
      </c>
      <c r="J186" s="64">
        <f>4.3812 * CHOOSE(CONTROL!$C$22, $C$13, 100%, $E$13)</f>
        <v>4.3811999999999998</v>
      </c>
      <c r="K186" s="64">
        <f>4.3837 * CHOOSE(CONTROL!$C$22, $C$13, 100%, $E$13)</f>
        <v>4.3837000000000002</v>
      </c>
    </row>
    <row r="187" spans="1:11" ht="15">
      <c r="A187" s="13">
        <v>47331</v>
      </c>
      <c r="B187" s="63">
        <f>3.8194 * CHOOSE(CONTROL!$C$22, $C$13, 100%, $E$13)</f>
        <v>3.8193999999999999</v>
      </c>
      <c r="C187" s="63">
        <f>3.8194 * CHOOSE(CONTROL!$C$22, $C$13, 100%, $E$13)</f>
        <v>3.8193999999999999</v>
      </c>
      <c r="D187" s="63">
        <f>3.8593 * CHOOSE(CONTROL!$C$22, $C$13, 100%, $E$13)</f>
        <v>3.8593000000000002</v>
      </c>
      <c r="E187" s="64">
        <f>4.3404 * CHOOSE(CONTROL!$C$22, $C$13, 100%, $E$13)</f>
        <v>4.3403999999999998</v>
      </c>
      <c r="F187" s="64">
        <f>4.3404 * CHOOSE(CONTROL!$C$22, $C$13, 100%, $E$13)</f>
        <v>4.3403999999999998</v>
      </c>
      <c r="G187" s="64">
        <f>4.3428 * CHOOSE(CONTROL!$C$22, $C$13, 100%, $E$13)</f>
        <v>4.3428000000000004</v>
      </c>
      <c r="H187" s="64">
        <f>8.0456* CHOOSE(CONTROL!$C$22, $C$13, 100%, $E$13)</f>
        <v>8.0456000000000003</v>
      </c>
      <c r="I187" s="64">
        <f>8.0481 * CHOOSE(CONTROL!$C$22, $C$13, 100%, $E$13)</f>
        <v>8.0480999999999998</v>
      </c>
      <c r="J187" s="64">
        <f>4.3404 * CHOOSE(CONTROL!$C$22, $C$13, 100%, $E$13)</f>
        <v>4.3403999999999998</v>
      </c>
      <c r="K187" s="64">
        <f>4.3428 * CHOOSE(CONTROL!$C$22, $C$13, 100%, $E$13)</f>
        <v>4.3428000000000004</v>
      </c>
    </row>
    <row r="188" spans="1:11" ht="15">
      <c r="A188" s="13">
        <v>47362</v>
      </c>
      <c r="B188" s="63">
        <f>3.8164 * CHOOSE(CONTROL!$C$22, $C$13, 100%, $E$13)</f>
        <v>3.8163999999999998</v>
      </c>
      <c r="C188" s="63">
        <f>3.8164 * CHOOSE(CONTROL!$C$22, $C$13, 100%, $E$13)</f>
        <v>3.8163999999999998</v>
      </c>
      <c r="D188" s="63">
        <f>3.8563 * CHOOSE(CONTROL!$C$22, $C$13, 100%, $E$13)</f>
        <v>3.8563000000000001</v>
      </c>
      <c r="E188" s="64">
        <f>4.3332 * CHOOSE(CONTROL!$C$22, $C$13, 100%, $E$13)</f>
        <v>4.3331999999999997</v>
      </c>
      <c r="F188" s="64">
        <f>4.3332 * CHOOSE(CONTROL!$C$22, $C$13, 100%, $E$13)</f>
        <v>4.3331999999999997</v>
      </c>
      <c r="G188" s="64">
        <f>4.3356 * CHOOSE(CONTROL!$C$22, $C$13, 100%, $E$13)</f>
        <v>4.3356000000000003</v>
      </c>
      <c r="H188" s="64">
        <f>8.0624* CHOOSE(CONTROL!$C$22, $C$13, 100%, $E$13)</f>
        <v>8.0624000000000002</v>
      </c>
      <c r="I188" s="64">
        <f>8.0648 * CHOOSE(CONTROL!$C$22, $C$13, 100%, $E$13)</f>
        <v>8.0648</v>
      </c>
      <c r="J188" s="64">
        <f>4.3332 * CHOOSE(CONTROL!$C$22, $C$13, 100%, $E$13)</f>
        <v>4.3331999999999997</v>
      </c>
      <c r="K188" s="64">
        <f>4.3356 * CHOOSE(CONTROL!$C$22, $C$13, 100%, $E$13)</f>
        <v>4.3356000000000003</v>
      </c>
    </row>
    <row r="189" spans="1:11" ht="15">
      <c r="A189" s="13">
        <v>47392</v>
      </c>
      <c r="B189" s="63">
        <f>3.811 * CHOOSE(CONTROL!$C$22, $C$13, 100%, $E$13)</f>
        <v>3.8109999999999999</v>
      </c>
      <c r="C189" s="63">
        <f>3.811 * CHOOSE(CONTROL!$C$22, $C$13, 100%, $E$13)</f>
        <v>3.8109999999999999</v>
      </c>
      <c r="D189" s="63">
        <f>3.831 * CHOOSE(CONTROL!$C$22, $C$13, 100%, $E$13)</f>
        <v>3.831</v>
      </c>
      <c r="E189" s="64">
        <f>4.34 * CHOOSE(CONTROL!$C$22, $C$13, 100%, $E$13)</f>
        <v>4.34</v>
      </c>
      <c r="F189" s="64">
        <f>4.34 * CHOOSE(CONTROL!$C$22, $C$13, 100%, $E$13)</f>
        <v>4.34</v>
      </c>
      <c r="G189" s="64">
        <f>4.3402 * CHOOSE(CONTROL!$C$22, $C$13, 100%, $E$13)</f>
        <v>4.3402000000000003</v>
      </c>
      <c r="H189" s="64">
        <f>8.0792* CHOOSE(CONTROL!$C$22, $C$13, 100%, $E$13)</f>
        <v>8.0792000000000002</v>
      </c>
      <c r="I189" s="64">
        <f>8.0793 * CHOOSE(CONTROL!$C$22, $C$13, 100%, $E$13)</f>
        <v>8.0792999999999999</v>
      </c>
      <c r="J189" s="64">
        <f>4.34 * CHOOSE(CONTROL!$C$22, $C$13, 100%, $E$13)</f>
        <v>4.34</v>
      </c>
      <c r="K189" s="64">
        <f>4.3402 * CHOOSE(CONTROL!$C$22, $C$13, 100%, $E$13)</f>
        <v>4.3402000000000003</v>
      </c>
    </row>
    <row r="190" spans="1:11" ht="15">
      <c r="A190" s="13">
        <v>47423</v>
      </c>
      <c r="B190" s="63">
        <f>3.8141 * CHOOSE(CONTROL!$C$22, $C$13, 100%, $E$13)</f>
        <v>3.8140999999999998</v>
      </c>
      <c r="C190" s="63">
        <f>3.8141 * CHOOSE(CONTROL!$C$22, $C$13, 100%, $E$13)</f>
        <v>3.8140999999999998</v>
      </c>
      <c r="D190" s="63">
        <f>3.834 * CHOOSE(CONTROL!$C$22, $C$13, 100%, $E$13)</f>
        <v>3.8340000000000001</v>
      </c>
      <c r="E190" s="64">
        <f>4.3522 * CHOOSE(CONTROL!$C$22, $C$13, 100%, $E$13)</f>
        <v>4.3521999999999998</v>
      </c>
      <c r="F190" s="64">
        <f>4.3522 * CHOOSE(CONTROL!$C$22, $C$13, 100%, $E$13)</f>
        <v>4.3521999999999998</v>
      </c>
      <c r="G190" s="64">
        <f>4.3524 * CHOOSE(CONTROL!$C$22, $C$13, 100%, $E$13)</f>
        <v>4.3524000000000003</v>
      </c>
      <c r="H190" s="64">
        <f>8.096* CHOOSE(CONTROL!$C$22, $C$13, 100%, $E$13)</f>
        <v>8.0960000000000001</v>
      </c>
      <c r="I190" s="64">
        <f>8.0962 * CHOOSE(CONTROL!$C$22, $C$13, 100%, $E$13)</f>
        <v>8.0961999999999996</v>
      </c>
      <c r="J190" s="64">
        <f>4.3522 * CHOOSE(CONTROL!$C$22, $C$13, 100%, $E$13)</f>
        <v>4.3521999999999998</v>
      </c>
      <c r="K190" s="64">
        <f>4.3524 * CHOOSE(CONTROL!$C$22, $C$13, 100%, $E$13)</f>
        <v>4.3524000000000003</v>
      </c>
    </row>
    <row r="191" spans="1:11" ht="15">
      <c r="A191" s="13">
        <v>47453</v>
      </c>
      <c r="B191" s="63">
        <f>3.8141 * CHOOSE(CONTROL!$C$22, $C$13, 100%, $E$13)</f>
        <v>3.8140999999999998</v>
      </c>
      <c r="C191" s="63">
        <f>3.8141 * CHOOSE(CONTROL!$C$22, $C$13, 100%, $E$13)</f>
        <v>3.8140999999999998</v>
      </c>
      <c r="D191" s="63">
        <f>3.834 * CHOOSE(CONTROL!$C$22, $C$13, 100%, $E$13)</f>
        <v>3.8340000000000001</v>
      </c>
      <c r="E191" s="64">
        <f>4.327 * CHOOSE(CONTROL!$C$22, $C$13, 100%, $E$13)</f>
        <v>4.327</v>
      </c>
      <c r="F191" s="64">
        <f>4.327 * CHOOSE(CONTROL!$C$22, $C$13, 100%, $E$13)</f>
        <v>4.327</v>
      </c>
      <c r="G191" s="64">
        <f>4.3271 * CHOOSE(CONTROL!$C$22, $C$13, 100%, $E$13)</f>
        <v>4.3270999999999997</v>
      </c>
      <c r="H191" s="64">
        <f>8.1129* CHOOSE(CONTROL!$C$22, $C$13, 100%, $E$13)</f>
        <v>8.1128999999999998</v>
      </c>
      <c r="I191" s="64">
        <f>8.113 * CHOOSE(CONTROL!$C$22, $C$13, 100%, $E$13)</f>
        <v>8.1129999999999995</v>
      </c>
      <c r="J191" s="64">
        <f>4.327 * CHOOSE(CONTROL!$C$22, $C$13, 100%, $E$13)</f>
        <v>4.327</v>
      </c>
      <c r="K191" s="64">
        <f>4.3271 * CHOOSE(CONTROL!$C$22, $C$13, 100%, $E$13)</f>
        <v>4.3270999999999997</v>
      </c>
    </row>
    <row r="192" spans="1:11" ht="15">
      <c r="A192" s="13">
        <v>47484</v>
      </c>
      <c r="B192" s="63">
        <f>3.85 * CHOOSE(CONTROL!$C$22, $C$13, 100%, $E$13)</f>
        <v>3.85</v>
      </c>
      <c r="C192" s="63">
        <f>3.85 * CHOOSE(CONTROL!$C$22, $C$13, 100%, $E$13)</f>
        <v>3.85</v>
      </c>
      <c r="D192" s="63">
        <f>3.87 * CHOOSE(CONTROL!$C$22, $C$13, 100%, $E$13)</f>
        <v>3.87</v>
      </c>
      <c r="E192" s="64">
        <f>4.3833 * CHOOSE(CONTROL!$C$22, $C$13, 100%, $E$13)</f>
        <v>4.3833000000000002</v>
      </c>
      <c r="F192" s="64">
        <f>4.3833 * CHOOSE(CONTROL!$C$22, $C$13, 100%, $E$13)</f>
        <v>4.3833000000000002</v>
      </c>
      <c r="G192" s="64">
        <f>4.3835 * CHOOSE(CONTROL!$C$22, $C$13, 100%, $E$13)</f>
        <v>4.3834999999999997</v>
      </c>
      <c r="H192" s="64">
        <f>8.1298* CHOOSE(CONTROL!$C$22, $C$13, 100%, $E$13)</f>
        <v>8.1297999999999995</v>
      </c>
      <c r="I192" s="64">
        <f>8.1299 * CHOOSE(CONTROL!$C$22, $C$13, 100%, $E$13)</f>
        <v>8.1298999999999992</v>
      </c>
      <c r="J192" s="64">
        <f>4.3833 * CHOOSE(CONTROL!$C$22, $C$13, 100%, $E$13)</f>
        <v>4.3833000000000002</v>
      </c>
      <c r="K192" s="64">
        <f>4.3835 * CHOOSE(CONTROL!$C$22, $C$13, 100%, $E$13)</f>
        <v>4.3834999999999997</v>
      </c>
    </row>
    <row r="193" spans="1:11" ht="15">
      <c r="A193" s="13">
        <v>47515</v>
      </c>
      <c r="B193" s="63">
        <f>3.847 * CHOOSE(CONTROL!$C$22, $C$13, 100%, $E$13)</f>
        <v>3.847</v>
      </c>
      <c r="C193" s="63">
        <f>3.847 * CHOOSE(CONTROL!$C$22, $C$13, 100%, $E$13)</f>
        <v>3.847</v>
      </c>
      <c r="D193" s="63">
        <f>3.867 * CHOOSE(CONTROL!$C$22, $C$13, 100%, $E$13)</f>
        <v>3.867</v>
      </c>
      <c r="E193" s="64">
        <f>4.3322 * CHOOSE(CONTROL!$C$22, $C$13, 100%, $E$13)</f>
        <v>4.3322000000000003</v>
      </c>
      <c r="F193" s="64">
        <f>4.3322 * CHOOSE(CONTROL!$C$22, $C$13, 100%, $E$13)</f>
        <v>4.3322000000000003</v>
      </c>
      <c r="G193" s="64">
        <f>4.3324 * CHOOSE(CONTROL!$C$22, $C$13, 100%, $E$13)</f>
        <v>4.3323999999999998</v>
      </c>
      <c r="H193" s="64">
        <f>8.1467* CHOOSE(CONTROL!$C$22, $C$13, 100%, $E$13)</f>
        <v>8.1466999999999992</v>
      </c>
      <c r="I193" s="64">
        <f>8.1469 * CHOOSE(CONTROL!$C$22, $C$13, 100%, $E$13)</f>
        <v>8.1469000000000005</v>
      </c>
      <c r="J193" s="64">
        <f>4.3322 * CHOOSE(CONTROL!$C$22, $C$13, 100%, $E$13)</f>
        <v>4.3322000000000003</v>
      </c>
      <c r="K193" s="64">
        <f>4.3324 * CHOOSE(CONTROL!$C$22, $C$13, 100%, $E$13)</f>
        <v>4.3323999999999998</v>
      </c>
    </row>
    <row r="194" spans="1:11" ht="15">
      <c r="A194" s="13">
        <v>47543</v>
      </c>
      <c r="B194" s="63">
        <f>3.844 * CHOOSE(CONTROL!$C$22, $C$13, 100%, $E$13)</f>
        <v>3.8439999999999999</v>
      </c>
      <c r="C194" s="63">
        <f>3.844 * CHOOSE(CONTROL!$C$22, $C$13, 100%, $E$13)</f>
        <v>3.8439999999999999</v>
      </c>
      <c r="D194" s="63">
        <f>3.8639 * CHOOSE(CONTROL!$C$22, $C$13, 100%, $E$13)</f>
        <v>3.8639000000000001</v>
      </c>
      <c r="E194" s="64">
        <f>4.3687 * CHOOSE(CONTROL!$C$22, $C$13, 100%, $E$13)</f>
        <v>4.3686999999999996</v>
      </c>
      <c r="F194" s="64">
        <f>4.3687 * CHOOSE(CONTROL!$C$22, $C$13, 100%, $E$13)</f>
        <v>4.3686999999999996</v>
      </c>
      <c r="G194" s="64">
        <f>4.3689 * CHOOSE(CONTROL!$C$22, $C$13, 100%, $E$13)</f>
        <v>4.3689</v>
      </c>
      <c r="H194" s="64">
        <f>8.1637* CHOOSE(CONTROL!$C$22, $C$13, 100%, $E$13)</f>
        <v>8.1637000000000004</v>
      </c>
      <c r="I194" s="64">
        <f>8.1639 * CHOOSE(CONTROL!$C$22, $C$13, 100%, $E$13)</f>
        <v>8.1638999999999999</v>
      </c>
      <c r="J194" s="64">
        <f>4.3687 * CHOOSE(CONTROL!$C$22, $C$13, 100%, $E$13)</f>
        <v>4.3686999999999996</v>
      </c>
      <c r="K194" s="64">
        <f>4.3689 * CHOOSE(CONTROL!$C$22, $C$13, 100%, $E$13)</f>
        <v>4.3689</v>
      </c>
    </row>
    <row r="195" spans="1:11" ht="15">
      <c r="A195" s="13">
        <v>47574</v>
      </c>
      <c r="B195" s="63">
        <f>3.8415 * CHOOSE(CONTROL!$C$22, $C$13, 100%, $E$13)</f>
        <v>3.8414999999999999</v>
      </c>
      <c r="C195" s="63">
        <f>3.8415 * CHOOSE(CONTROL!$C$22, $C$13, 100%, $E$13)</f>
        <v>3.8414999999999999</v>
      </c>
      <c r="D195" s="63">
        <f>3.8615 * CHOOSE(CONTROL!$C$22, $C$13, 100%, $E$13)</f>
        <v>3.8614999999999999</v>
      </c>
      <c r="E195" s="64">
        <f>4.406 * CHOOSE(CONTROL!$C$22, $C$13, 100%, $E$13)</f>
        <v>4.4059999999999997</v>
      </c>
      <c r="F195" s="64">
        <f>4.406 * CHOOSE(CONTROL!$C$22, $C$13, 100%, $E$13)</f>
        <v>4.4059999999999997</v>
      </c>
      <c r="G195" s="64">
        <f>4.4061 * CHOOSE(CONTROL!$C$22, $C$13, 100%, $E$13)</f>
        <v>4.4061000000000003</v>
      </c>
      <c r="H195" s="64">
        <f>8.1807* CHOOSE(CONTROL!$C$22, $C$13, 100%, $E$13)</f>
        <v>8.1806999999999999</v>
      </c>
      <c r="I195" s="64">
        <f>8.1809 * CHOOSE(CONTROL!$C$22, $C$13, 100%, $E$13)</f>
        <v>8.1808999999999994</v>
      </c>
      <c r="J195" s="64">
        <f>4.406 * CHOOSE(CONTROL!$C$22, $C$13, 100%, $E$13)</f>
        <v>4.4059999999999997</v>
      </c>
      <c r="K195" s="64">
        <f>4.4061 * CHOOSE(CONTROL!$C$22, $C$13, 100%, $E$13)</f>
        <v>4.4061000000000003</v>
      </c>
    </row>
    <row r="196" spans="1:11" ht="15">
      <c r="A196" s="13">
        <v>47604</v>
      </c>
      <c r="B196" s="63">
        <f>3.8415 * CHOOSE(CONTROL!$C$22, $C$13, 100%, $E$13)</f>
        <v>3.8414999999999999</v>
      </c>
      <c r="C196" s="63">
        <f>3.8415 * CHOOSE(CONTROL!$C$22, $C$13, 100%, $E$13)</f>
        <v>3.8414999999999999</v>
      </c>
      <c r="D196" s="63">
        <f>3.8815 * CHOOSE(CONTROL!$C$22, $C$13, 100%, $E$13)</f>
        <v>3.8815</v>
      </c>
      <c r="E196" s="64">
        <f>4.4215 * CHOOSE(CONTROL!$C$22, $C$13, 100%, $E$13)</f>
        <v>4.4215</v>
      </c>
      <c r="F196" s="64">
        <f>4.4215 * CHOOSE(CONTROL!$C$22, $C$13, 100%, $E$13)</f>
        <v>4.4215</v>
      </c>
      <c r="G196" s="64">
        <f>4.424 * CHOOSE(CONTROL!$C$22, $C$13, 100%, $E$13)</f>
        <v>4.4240000000000004</v>
      </c>
      <c r="H196" s="64">
        <f>8.1977* CHOOSE(CONTROL!$C$22, $C$13, 100%, $E$13)</f>
        <v>8.1976999999999993</v>
      </c>
      <c r="I196" s="64">
        <f>8.2002 * CHOOSE(CONTROL!$C$22, $C$13, 100%, $E$13)</f>
        <v>8.2002000000000006</v>
      </c>
      <c r="J196" s="64">
        <f>4.4215 * CHOOSE(CONTROL!$C$22, $C$13, 100%, $E$13)</f>
        <v>4.4215</v>
      </c>
      <c r="K196" s="64">
        <f>4.424 * CHOOSE(CONTROL!$C$22, $C$13, 100%, $E$13)</f>
        <v>4.4240000000000004</v>
      </c>
    </row>
    <row r="197" spans="1:11" ht="15">
      <c r="A197" s="13">
        <v>47635</v>
      </c>
      <c r="B197" s="63">
        <f>3.8476 * CHOOSE(CONTROL!$C$22, $C$13, 100%, $E$13)</f>
        <v>3.8475999999999999</v>
      </c>
      <c r="C197" s="63">
        <f>3.8476 * CHOOSE(CONTROL!$C$22, $C$13, 100%, $E$13)</f>
        <v>3.8475999999999999</v>
      </c>
      <c r="D197" s="63">
        <f>3.8876 * CHOOSE(CONTROL!$C$22, $C$13, 100%, $E$13)</f>
        <v>3.8875999999999999</v>
      </c>
      <c r="E197" s="64">
        <f>4.4102 * CHOOSE(CONTROL!$C$22, $C$13, 100%, $E$13)</f>
        <v>4.4101999999999997</v>
      </c>
      <c r="F197" s="64">
        <f>4.4102 * CHOOSE(CONTROL!$C$22, $C$13, 100%, $E$13)</f>
        <v>4.4101999999999997</v>
      </c>
      <c r="G197" s="64">
        <f>4.4126 * CHOOSE(CONTROL!$C$22, $C$13, 100%, $E$13)</f>
        <v>4.4126000000000003</v>
      </c>
      <c r="H197" s="64">
        <f>8.2148* CHOOSE(CONTROL!$C$22, $C$13, 100%, $E$13)</f>
        <v>8.2148000000000003</v>
      </c>
      <c r="I197" s="64">
        <f>8.2173 * CHOOSE(CONTROL!$C$22, $C$13, 100%, $E$13)</f>
        <v>8.2172999999999998</v>
      </c>
      <c r="J197" s="64">
        <f>4.4102 * CHOOSE(CONTROL!$C$22, $C$13, 100%, $E$13)</f>
        <v>4.4101999999999997</v>
      </c>
      <c r="K197" s="64">
        <f>4.4126 * CHOOSE(CONTROL!$C$22, $C$13, 100%, $E$13)</f>
        <v>4.4126000000000003</v>
      </c>
    </row>
    <row r="198" spans="1:11" ht="15">
      <c r="A198" s="13">
        <v>47665</v>
      </c>
      <c r="B198" s="63">
        <f>3.915 * CHOOSE(CONTROL!$C$22, $C$13, 100%, $E$13)</f>
        <v>3.915</v>
      </c>
      <c r="C198" s="63">
        <f>3.915 * CHOOSE(CONTROL!$C$22, $C$13, 100%, $E$13)</f>
        <v>3.915</v>
      </c>
      <c r="D198" s="63">
        <f>3.955 * CHOOSE(CONTROL!$C$22, $C$13, 100%, $E$13)</f>
        <v>3.9550000000000001</v>
      </c>
      <c r="E198" s="64">
        <f>4.4986 * CHOOSE(CONTROL!$C$22, $C$13, 100%, $E$13)</f>
        <v>4.4985999999999997</v>
      </c>
      <c r="F198" s="64">
        <f>4.4986 * CHOOSE(CONTROL!$C$22, $C$13, 100%, $E$13)</f>
        <v>4.4985999999999997</v>
      </c>
      <c r="G198" s="64">
        <f>4.5011 * CHOOSE(CONTROL!$C$22, $C$13, 100%, $E$13)</f>
        <v>4.5011000000000001</v>
      </c>
      <c r="H198" s="64">
        <f>8.2319* CHOOSE(CONTROL!$C$22, $C$13, 100%, $E$13)</f>
        <v>8.2318999999999996</v>
      </c>
      <c r="I198" s="64">
        <f>8.2344 * CHOOSE(CONTROL!$C$22, $C$13, 100%, $E$13)</f>
        <v>8.2344000000000008</v>
      </c>
      <c r="J198" s="64">
        <f>4.4986 * CHOOSE(CONTROL!$C$22, $C$13, 100%, $E$13)</f>
        <v>4.4985999999999997</v>
      </c>
      <c r="K198" s="64">
        <f>4.5011 * CHOOSE(CONTROL!$C$22, $C$13, 100%, $E$13)</f>
        <v>4.5011000000000001</v>
      </c>
    </row>
    <row r="199" spans="1:11" ht="15">
      <c r="A199" s="13">
        <v>47696</v>
      </c>
      <c r="B199" s="63">
        <f>3.9217 * CHOOSE(CONTROL!$C$22, $C$13, 100%, $E$13)</f>
        <v>3.9217</v>
      </c>
      <c r="C199" s="63">
        <f>3.9217 * CHOOSE(CONTROL!$C$22, $C$13, 100%, $E$13)</f>
        <v>3.9217</v>
      </c>
      <c r="D199" s="63">
        <f>3.9617 * CHOOSE(CONTROL!$C$22, $C$13, 100%, $E$13)</f>
        <v>3.9617</v>
      </c>
      <c r="E199" s="64">
        <f>4.4566 * CHOOSE(CONTROL!$C$22, $C$13, 100%, $E$13)</f>
        <v>4.4565999999999999</v>
      </c>
      <c r="F199" s="64">
        <f>4.4566 * CHOOSE(CONTROL!$C$22, $C$13, 100%, $E$13)</f>
        <v>4.4565999999999999</v>
      </c>
      <c r="G199" s="64">
        <f>4.4591 * CHOOSE(CONTROL!$C$22, $C$13, 100%, $E$13)</f>
        <v>4.4591000000000003</v>
      </c>
      <c r="H199" s="64">
        <f>8.2491* CHOOSE(CONTROL!$C$22, $C$13, 100%, $E$13)</f>
        <v>8.2491000000000003</v>
      </c>
      <c r="I199" s="64">
        <f>8.2515 * CHOOSE(CONTROL!$C$22, $C$13, 100%, $E$13)</f>
        <v>8.2515000000000001</v>
      </c>
      <c r="J199" s="64">
        <f>4.4566 * CHOOSE(CONTROL!$C$22, $C$13, 100%, $E$13)</f>
        <v>4.4565999999999999</v>
      </c>
      <c r="K199" s="64">
        <f>4.4591 * CHOOSE(CONTROL!$C$22, $C$13, 100%, $E$13)</f>
        <v>4.4591000000000003</v>
      </c>
    </row>
    <row r="200" spans="1:11" ht="15">
      <c r="A200" s="13">
        <v>47727</v>
      </c>
      <c r="B200" s="63">
        <f>3.9187 * CHOOSE(CONTROL!$C$22, $C$13, 100%, $E$13)</f>
        <v>3.9186999999999999</v>
      </c>
      <c r="C200" s="63">
        <f>3.9187 * CHOOSE(CONTROL!$C$22, $C$13, 100%, $E$13)</f>
        <v>3.9186999999999999</v>
      </c>
      <c r="D200" s="63">
        <f>3.9586 * CHOOSE(CONTROL!$C$22, $C$13, 100%, $E$13)</f>
        <v>3.9586000000000001</v>
      </c>
      <c r="E200" s="64">
        <f>4.4493 * CHOOSE(CONTROL!$C$22, $C$13, 100%, $E$13)</f>
        <v>4.4493</v>
      </c>
      <c r="F200" s="64">
        <f>4.4493 * CHOOSE(CONTROL!$C$22, $C$13, 100%, $E$13)</f>
        <v>4.4493</v>
      </c>
      <c r="G200" s="64">
        <f>4.4518 * CHOOSE(CONTROL!$C$22, $C$13, 100%, $E$13)</f>
        <v>4.4518000000000004</v>
      </c>
      <c r="H200" s="64">
        <f>8.2663* CHOOSE(CONTROL!$C$22, $C$13, 100%, $E$13)</f>
        <v>8.2662999999999993</v>
      </c>
      <c r="I200" s="64">
        <f>8.2687 * CHOOSE(CONTROL!$C$22, $C$13, 100%, $E$13)</f>
        <v>8.2687000000000008</v>
      </c>
      <c r="J200" s="64">
        <f>4.4493 * CHOOSE(CONTROL!$C$22, $C$13, 100%, $E$13)</f>
        <v>4.4493</v>
      </c>
      <c r="K200" s="64">
        <f>4.4518 * CHOOSE(CONTROL!$C$22, $C$13, 100%, $E$13)</f>
        <v>4.4518000000000004</v>
      </c>
    </row>
    <row r="201" spans="1:11" ht="15">
      <c r="A201" s="13">
        <v>47757</v>
      </c>
      <c r="B201" s="63">
        <f>3.9137 * CHOOSE(CONTROL!$C$22, $C$13, 100%, $E$13)</f>
        <v>3.9137</v>
      </c>
      <c r="C201" s="63">
        <f>3.9137 * CHOOSE(CONTROL!$C$22, $C$13, 100%, $E$13)</f>
        <v>3.9137</v>
      </c>
      <c r="D201" s="63">
        <f>3.9337 * CHOOSE(CONTROL!$C$22, $C$13, 100%, $E$13)</f>
        <v>3.9337</v>
      </c>
      <c r="E201" s="64">
        <f>4.4566 * CHOOSE(CONTROL!$C$22, $C$13, 100%, $E$13)</f>
        <v>4.4565999999999999</v>
      </c>
      <c r="F201" s="64">
        <f>4.4566 * CHOOSE(CONTROL!$C$22, $C$13, 100%, $E$13)</f>
        <v>4.4565999999999999</v>
      </c>
      <c r="G201" s="64">
        <f>4.4568 * CHOOSE(CONTROL!$C$22, $C$13, 100%, $E$13)</f>
        <v>4.4568000000000003</v>
      </c>
      <c r="H201" s="64">
        <f>8.2835* CHOOSE(CONTROL!$C$22, $C$13, 100%, $E$13)</f>
        <v>8.2835000000000001</v>
      </c>
      <c r="I201" s="64">
        <f>8.2837 * CHOOSE(CONTROL!$C$22, $C$13, 100%, $E$13)</f>
        <v>8.2836999999999996</v>
      </c>
      <c r="J201" s="64">
        <f>4.4566 * CHOOSE(CONTROL!$C$22, $C$13, 100%, $E$13)</f>
        <v>4.4565999999999999</v>
      </c>
      <c r="K201" s="64">
        <f>4.4568 * CHOOSE(CONTROL!$C$22, $C$13, 100%, $E$13)</f>
        <v>4.4568000000000003</v>
      </c>
    </row>
    <row r="202" spans="1:11" ht="15">
      <c r="A202" s="13">
        <v>47788</v>
      </c>
      <c r="B202" s="63">
        <f>3.9168 * CHOOSE(CONTROL!$C$22, $C$13, 100%, $E$13)</f>
        <v>3.9167999999999998</v>
      </c>
      <c r="C202" s="63">
        <f>3.9168 * CHOOSE(CONTROL!$C$22, $C$13, 100%, $E$13)</f>
        <v>3.9167999999999998</v>
      </c>
      <c r="D202" s="63">
        <f>3.9367 * CHOOSE(CONTROL!$C$22, $C$13, 100%, $E$13)</f>
        <v>3.9367000000000001</v>
      </c>
      <c r="E202" s="64">
        <f>4.4691 * CHOOSE(CONTROL!$C$22, $C$13, 100%, $E$13)</f>
        <v>4.4691000000000001</v>
      </c>
      <c r="F202" s="64">
        <f>4.4691 * CHOOSE(CONTROL!$C$22, $C$13, 100%, $E$13)</f>
        <v>4.4691000000000001</v>
      </c>
      <c r="G202" s="64">
        <f>4.4693 * CHOOSE(CONTROL!$C$22, $C$13, 100%, $E$13)</f>
        <v>4.4692999999999996</v>
      </c>
      <c r="H202" s="64">
        <f>8.3007* CHOOSE(CONTROL!$C$22, $C$13, 100%, $E$13)</f>
        <v>8.3007000000000009</v>
      </c>
      <c r="I202" s="64">
        <f>8.3009 * CHOOSE(CONTROL!$C$22, $C$13, 100%, $E$13)</f>
        <v>8.3009000000000004</v>
      </c>
      <c r="J202" s="64">
        <f>4.4691 * CHOOSE(CONTROL!$C$22, $C$13, 100%, $E$13)</f>
        <v>4.4691000000000001</v>
      </c>
      <c r="K202" s="64">
        <f>4.4693 * CHOOSE(CONTROL!$C$22, $C$13, 100%, $E$13)</f>
        <v>4.4692999999999996</v>
      </c>
    </row>
    <row r="203" spans="1:11" ht="15">
      <c r="A203" s="13">
        <v>47818</v>
      </c>
      <c r="B203" s="63">
        <f>3.9168 * CHOOSE(CONTROL!$C$22, $C$13, 100%, $E$13)</f>
        <v>3.9167999999999998</v>
      </c>
      <c r="C203" s="63">
        <f>3.9168 * CHOOSE(CONTROL!$C$22, $C$13, 100%, $E$13)</f>
        <v>3.9167999999999998</v>
      </c>
      <c r="D203" s="63">
        <f>3.9367 * CHOOSE(CONTROL!$C$22, $C$13, 100%, $E$13)</f>
        <v>3.9367000000000001</v>
      </c>
      <c r="E203" s="64">
        <f>4.4432 * CHOOSE(CONTROL!$C$22, $C$13, 100%, $E$13)</f>
        <v>4.4432</v>
      </c>
      <c r="F203" s="64">
        <f>4.4432 * CHOOSE(CONTROL!$C$22, $C$13, 100%, $E$13)</f>
        <v>4.4432</v>
      </c>
      <c r="G203" s="64">
        <f>4.4434 * CHOOSE(CONTROL!$C$22, $C$13, 100%, $E$13)</f>
        <v>4.4433999999999996</v>
      </c>
      <c r="H203" s="64">
        <f>8.318* CHOOSE(CONTROL!$C$22, $C$13, 100%, $E$13)</f>
        <v>8.3179999999999996</v>
      </c>
      <c r="I203" s="64">
        <f>8.3182 * CHOOSE(CONTROL!$C$22, $C$13, 100%, $E$13)</f>
        <v>8.3181999999999992</v>
      </c>
      <c r="J203" s="64">
        <f>4.4432 * CHOOSE(CONTROL!$C$22, $C$13, 100%, $E$13)</f>
        <v>4.4432</v>
      </c>
      <c r="K203" s="64">
        <f>4.4434 * CHOOSE(CONTROL!$C$22, $C$13, 100%, $E$13)</f>
        <v>4.4433999999999996</v>
      </c>
    </row>
    <row r="204" spans="1:11" ht="15">
      <c r="A204" s="13">
        <v>47849</v>
      </c>
      <c r="B204" s="63">
        <f>3.9538 * CHOOSE(CONTROL!$C$22, $C$13, 100%, $E$13)</f>
        <v>3.9538000000000002</v>
      </c>
      <c r="C204" s="63">
        <f>3.9538 * CHOOSE(CONTROL!$C$22, $C$13, 100%, $E$13)</f>
        <v>3.9538000000000002</v>
      </c>
      <c r="D204" s="63">
        <f>3.9738 * CHOOSE(CONTROL!$C$22, $C$13, 100%, $E$13)</f>
        <v>3.9738000000000002</v>
      </c>
      <c r="E204" s="64">
        <f>4.5104 * CHOOSE(CONTROL!$C$22, $C$13, 100%, $E$13)</f>
        <v>4.5103999999999997</v>
      </c>
      <c r="F204" s="64">
        <f>4.5104 * CHOOSE(CONTROL!$C$22, $C$13, 100%, $E$13)</f>
        <v>4.5103999999999997</v>
      </c>
      <c r="G204" s="64">
        <f>4.5106 * CHOOSE(CONTROL!$C$22, $C$13, 100%, $E$13)</f>
        <v>4.5106000000000002</v>
      </c>
      <c r="H204" s="64">
        <f>8.3354* CHOOSE(CONTROL!$C$22, $C$13, 100%, $E$13)</f>
        <v>8.3353999999999999</v>
      </c>
      <c r="I204" s="64">
        <f>8.3355 * CHOOSE(CONTROL!$C$22, $C$13, 100%, $E$13)</f>
        <v>8.3354999999999997</v>
      </c>
      <c r="J204" s="64">
        <f>4.5104 * CHOOSE(CONTROL!$C$22, $C$13, 100%, $E$13)</f>
        <v>4.5103999999999997</v>
      </c>
      <c r="K204" s="64">
        <f>4.5106 * CHOOSE(CONTROL!$C$22, $C$13, 100%, $E$13)</f>
        <v>4.5106000000000002</v>
      </c>
    </row>
    <row r="205" spans="1:11" ht="15">
      <c r="A205" s="13">
        <v>47880</v>
      </c>
      <c r="B205" s="63">
        <f>3.9507 * CHOOSE(CONTROL!$C$22, $C$13, 100%, $E$13)</f>
        <v>3.9506999999999999</v>
      </c>
      <c r="C205" s="63">
        <f>3.9507 * CHOOSE(CONTROL!$C$22, $C$13, 100%, $E$13)</f>
        <v>3.9506999999999999</v>
      </c>
      <c r="D205" s="63">
        <f>3.9707 * CHOOSE(CONTROL!$C$22, $C$13, 100%, $E$13)</f>
        <v>3.9706999999999999</v>
      </c>
      <c r="E205" s="64">
        <f>4.4581 * CHOOSE(CONTROL!$C$22, $C$13, 100%, $E$13)</f>
        <v>4.4581</v>
      </c>
      <c r="F205" s="64">
        <f>4.4581 * CHOOSE(CONTROL!$C$22, $C$13, 100%, $E$13)</f>
        <v>4.4581</v>
      </c>
      <c r="G205" s="64">
        <f>4.4582 * CHOOSE(CONTROL!$C$22, $C$13, 100%, $E$13)</f>
        <v>4.4581999999999997</v>
      </c>
      <c r="H205" s="64">
        <f>8.3527* CHOOSE(CONTROL!$C$22, $C$13, 100%, $E$13)</f>
        <v>8.3527000000000005</v>
      </c>
      <c r="I205" s="64">
        <f>8.3529 * CHOOSE(CONTROL!$C$22, $C$13, 100%, $E$13)</f>
        <v>8.3529</v>
      </c>
      <c r="J205" s="64">
        <f>4.4581 * CHOOSE(CONTROL!$C$22, $C$13, 100%, $E$13)</f>
        <v>4.4581</v>
      </c>
      <c r="K205" s="64">
        <f>4.4582 * CHOOSE(CONTROL!$C$22, $C$13, 100%, $E$13)</f>
        <v>4.4581999999999997</v>
      </c>
    </row>
    <row r="206" spans="1:11" ht="15">
      <c r="A206" s="13">
        <v>47908</v>
      </c>
      <c r="B206" s="63">
        <f>3.9477 * CHOOSE(CONTROL!$C$22, $C$13, 100%, $E$13)</f>
        <v>3.9477000000000002</v>
      </c>
      <c r="C206" s="63">
        <f>3.9477 * CHOOSE(CONTROL!$C$22, $C$13, 100%, $E$13)</f>
        <v>3.9477000000000002</v>
      </c>
      <c r="D206" s="63">
        <f>3.9677 * CHOOSE(CONTROL!$C$22, $C$13, 100%, $E$13)</f>
        <v>3.9676999999999998</v>
      </c>
      <c r="E206" s="64">
        <f>4.4956 * CHOOSE(CONTROL!$C$22, $C$13, 100%, $E$13)</f>
        <v>4.4955999999999996</v>
      </c>
      <c r="F206" s="64">
        <f>4.4956 * CHOOSE(CONTROL!$C$22, $C$13, 100%, $E$13)</f>
        <v>4.4955999999999996</v>
      </c>
      <c r="G206" s="64">
        <f>4.4957 * CHOOSE(CONTROL!$C$22, $C$13, 100%, $E$13)</f>
        <v>4.4957000000000003</v>
      </c>
      <c r="H206" s="64">
        <f>8.3701* CHOOSE(CONTROL!$C$22, $C$13, 100%, $E$13)</f>
        <v>8.3701000000000008</v>
      </c>
      <c r="I206" s="64">
        <f>8.3703 * CHOOSE(CONTROL!$C$22, $C$13, 100%, $E$13)</f>
        <v>8.3703000000000003</v>
      </c>
      <c r="J206" s="64">
        <f>4.4956 * CHOOSE(CONTROL!$C$22, $C$13, 100%, $E$13)</f>
        <v>4.4955999999999996</v>
      </c>
      <c r="K206" s="64">
        <f>4.4957 * CHOOSE(CONTROL!$C$22, $C$13, 100%, $E$13)</f>
        <v>4.4957000000000003</v>
      </c>
    </row>
    <row r="207" spans="1:11" ht="15">
      <c r="A207" s="13">
        <v>47939</v>
      </c>
      <c r="B207" s="63">
        <f>3.9454 * CHOOSE(CONTROL!$C$22, $C$13, 100%, $E$13)</f>
        <v>3.9453999999999998</v>
      </c>
      <c r="C207" s="63">
        <f>3.9454 * CHOOSE(CONTROL!$C$22, $C$13, 100%, $E$13)</f>
        <v>3.9453999999999998</v>
      </c>
      <c r="D207" s="63">
        <f>3.9653 * CHOOSE(CONTROL!$C$22, $C$13, 100%, $E$13)</f>
        <v>3.9653</v>
      </c>
      <c r="E207" s="64">
        <f>4.5339 * CHOOSE(CONTROL!$C$22, $C$13, 100%, $E$13)</f>
        <v>4.5339</v>
      </c>
      <c r="F207" s="64">
        <f>4.5339 * CHOOSE(CONTROL!$C$22, $C$13, 100%, $E$13)</f>
        <v>4.5339</v>
      </c>
      <c r="G207" s="64">
        <f>4.5341 * CHOOSE(CONTROL!$C$22, $C$13, 100%, $E$13)</f>
        <v>4.5340999999999996</v>
      </c>
      <c r="H207" s="64">
        <f>8.3876* CHOOSE(CONTROL!$C$22, $C$13, 100%, $E$13)</f>
        <v>8.3876000000000008</v>
      </c>
      <c r="I207" s="64">
        <f>8.3877 * CHOOSE(CONTROL!$C$22, $C$13, 100%, $E$13)</f>
        <v>8.3877000000000006</v>
      </c>
      <c r="J207" s="64">
        <f>4.5339 * CHOOSE(CONTROL!$C$22, $C$13, 100%, $E$13)</f>
        <v>4.5339</v>
      </c>
      <c r="K207" s="64">
        <f>4.5341 * CHOOSE(CONTROL!$C$22, $C$13, 100%, $E$13)</f>
        <v>4.5340999999999996</v>
      </c>
    </row>
    <row r="208" spans="1:11" ht="15">
      <c r="A208" s="13">
        <v>47969</v>
      </c>
      <c r="B208" s="63">
        <f>3.9454 * CHOOSE(CONTROL!$C$22, $C$13, 100%, $E$13)</f>
        <v>3.9453999999999998</v>
      </c>
      <c r="C208" s="63">
        <f>3.9454 * CHOOSE(CONTROL!$C$22, $C$13, 100%, $E$13)</f>
        <v>3.9453999999999998</v>
      </c>
      <c r="D208" s="63">
        <f>3.9853 * CHOOSE(CONTROL!$C$22, $C$13, 100%, $E$13)</f>
        <v>3.9853000000000001</v>
      </c>
      <c r="E208" s="64">
        <f>4.5498 * CHOOSE(CONTROL!$C$22, $C$13, 100%, $E$13)</f>
        <v>4.5498000000000003</v>
      </c>
      <c r="F208" s="64">
        <f>4.5498 * CHOOSE(CONTROL!$C$22, $C$13, 100%, $E$13)</f>
        <v>4.5498000000000003</v>
      </c>
      <c r="G208" s="64">
        <f>4.5523 * CHOOSE(CONTROL!$C$22, $C$13, 100%, $E$13)</f>
        <v>4.5522999999999998</v>
      </c>
      <c r="H208" s="64">
        <f>8.405* CHOOSE(CONTROL!$C$22, $C$13, 100%, $E$13)</f>
        <v>8.4049999999999994</v>
      </c>
      <c r="I208" s="64">
        <f>8.4075 * CHOOSE(CONTROL!$C$22, $C$13, 100%, $E$13)</f>
        <v>8.4075000000000006</v>
      </c>
      <c r="J208" s="64">
        <f>4.5498 * CHOOSE(CONTROL!$C$22, $C$13, 100%, $E$13)</f>
        <v>4.5498000000000003</v>
      </c>
      <c r="K208" s="64">
        <f>4.5523 * CHOOSE(CONTROL!$C$22, $C$13, 100%, $E$13)</f>
        <v>4.5522999999999998</v>
      </c>
    </row>
    <row r="209" spans="1:11" ht="15">
      <c r="A209" s="13">
        <v>48000</v>
      </c>
      <c r="B209" s="63">
        <f>3.9515 * CHOOSE(CONTROL!$C$22, $C$13, 100%, $E$13)</f>
        <v>3.9514999999999998</v>
      </c>
      <c r="C209" s="63">
        <f>3.9515 * CHOOSE(CONTROL!$C$22, $C$13, 100%, $E$13)</f>
        <v>3.9514999999999998</v>
      </c>
      <c r="D209" s="63">
        <f>3.9914 * CHOOSE(CONTROL!$C$22, $C$13, 100%, $E$13)</f>
        <v>3.9914000000000001</v>
      </c>
      <c r="E209" s="64">
        <f>4.5381 * CHOOSE(CONTROL!$C$22, $C$13, 100%, $E$13)</f>
        <v>4.5381</v>
      </c>
      <c r="F209" s="64">
        <f>4.5381 * CHOOSE(CONTROL!$C$22, $C$13, 100%, $E$13)</f>
        <v>4.5381</v>
      </c>
      <c r="G209" s="64">
        <f>4.5406 * CHOOSE(CONTROL!$C$22, $C$13, 100%, $E$13)</f>
        <v>4.5406000000000004</v>
      </c>
      <c r="H209" s="64">
        <f>8.4226* CHOOSE(CONTROL!$C$22, $C$13, 100%, $E$13)</f>
        <v>8.4225999999999992</v>
      </c>
      <c r="I209" s="64">
        <f>8.425 * CHOOSE(CONTROL!$C$22, $C$13, 100%, $E$13)</f>
        <v>8.4250000000000007</v>
      </c>
      <c r="J209" s="64">
        <f>4.5381 * CHOOSE(CONTROL!$C$22, $C$13, 100%, $E$13)</f>
        <v>4.5381</v>
      </c>
      <c r="K209" s="64">
        <f>4.5406 * CHOOSE(CONTROL!$C$22, $C$13, 100%, $E$13)</f>
        <v>4.5406000000000004</v>
      </c>
    </row>
    <row r="210" spans="1:11" ht="15">
      <c r="A210" s="13">
        <v>48030</v>
      </c>
      <c r="B210" s="63">
        <f>4.021 * CHOOSE(CONTROL!$C$22, $C$13, 100%, $E$13)</f>
        <v>4.0209999999999999</v>
      </c>
      <c r="C210" s="63">
        <f>4.021 * CHOOSE(CONTROL!$C$22, $C$13, 100%, $E$13)</f>
        <v>4.0209999999999999</v>
      </c>
      <c r="D210" s="63">
        <f>4.0609 * CHOOSE(CONTROL!$C$22, $C$13, 100%, $E$13)</f>
        <v>4.0609000000000002</v>
      </c>
      <c r="E210" s="64">
        <f>4.6515 * CHOOSE(CONTROL!$C$22, $C$13, 100%, $E$13)</f>
        <v>4.6515000000000004</v>
      </c>
      <c r="F210" s="64">
        <f>4.6515 * CHOOSE(CONTROL!$C$22, $C$13, 100%, $E$13)</f>
        <v>4.6515000000000004</v>
      </c>
      <c r="G210" s="64">
        <f>4.6539 * CHOOSE(CONTROL!$C$22, $C$13, 100%, $E$13)</f>
        <v>4.6539000000000001</v>
      </c>
      <c r="H210" s="64">
        <f>8.4401* CHOOSE(CONTROL!$C$22, $C$13, 100%, $E$13)</f>
        <v>8.4400999999999993</v>
      </c>
      <c r="I210" s="64">
        <f>8.4425 * CHOOSE(CONTROL!$C$22, $C$13, 100%, $E$13)</f>
        <v>8.4425000000000008</v>
      </c>
      <c r="J210" s="64">
        <f>4.6515 * CHOOSE(CONTROL!$C$22, $C$13, 100%, $E$13)</f>
        <v>4.6515000000000004</v>
      </c>
      <c r="K210" s="64">
        <f>4.6539 * CHOOSE(CONTROL!$C$22, $C$13, 100%, $E$13)</f>
        <v>4.6539000000000001</v>
      </c>
    </row>
    <row r="211" spans="1:11" ht="15">
      <c r="A211" s="13">
        <v>48061</v>
      </c>
      <c r="B211" s="63">
        <f>4.0277 * CHOOSE(CONTROL!$C$22, $C$13, 100%, $E$13)</f>
        <v>4.0277000000000003</v>
      </c>
      <c r="C211" s="63">
        <f>4.0277 * CHOOSE(CONTROL!$C$22, $C$13, 100%, $E$13)</f>
        <v>4.0277000000000003</v>
      </c>
      <c r="D211" s="63">
        <f>4.0676 * CHOOSE(CONTROL!$C$22, $C$13, 100%, $E$13)</f>
        <v>4.0675999999999997</v>
      </c>
      <c r="E211" s="64">
        <f>4.6083 * CHOOSE(CONTROL!$C$22, $C$13, 100%, $E$13)</f>
        <v>4.6082999999999998</v>
      </c>
      <c r="F211" s="64">
        <f>4.6083 * CHOOSE(CONTROL!$C$22, $C$13, 100%, $E$13)</f>
        <v>4.6082999999999998</v>
      </c>
      <c r="G211" s="64">
        <f>4.6107 * CHOOSE(CONTROL!$C$22, $C$13, 100%, $E$13)</f>
        <v>4.6106999999999996</v>
      </c>
      <c r="H211" s="64">
        <f>8.4577* CHOOSE(CONTROL!$C$22, $C$13, 100%, $E$13)</f>
        <v>8.4577000000000009</v>
      </c>
      <c r="I211" s="64">
        <f>8.4601 * CHOOSE(CONTROL!$C$22, $C$13, 100%, $E$13)</f>
        <v>8.4601000000000006</v>
      </c>
      <c r="J211" s="64">
        <f>4.6083 * CHOOSE(CONTROL!$C$22, $C$13, 100%, $E$13)</f>
        <v>4.6082999999999998</v>
      </c>
      <c r="K211" s="64">
        <f>4.6107 * CHOOSE(CONTROL!$C$22, $C$13, 100%, $E$13)</f>
        <v>4.6106999999999996</v>
      </c>
    </row>
    <row r="212" spans="1:11" ht="15">
      <c r="A212" s="13">
        <v>48092</v>
      </c>
      <c r="B212" s="63">
        <f>4.0246 * CHOOSE(CONTROL!$C$22, $C$13, 100%, $E$13)</f>
        <v>4.0246000000000004</v>
      </c>
      <c r="C212" s="63">
        <f>4.0246 * CHOOSE(CONTROL!$C$22, $C$13, 100%, $E$13)</f>
        <v>4.0246000000000004</v>
      </c>
      <c r="D212" s="63">
        <f>4.0646 * CHOOSE(CONTROL!$C$22, $C$13, 100%, $E$13)</f>
        <v>4.0646000000000004</v>
      </c>
      <c r="E212" s="64">
        <f>4.6008 * CHOOSE(CONTROL!$C$22, $C$13, 100%, $E$13)</f>
        <v>4.6007999999999996</v>
      </c>
      <c r="F212" s="64">
        <f>4.6008 * CHOOSE(CONTROL!$C$22, $C$13, 100%, $E$13)</f>
        <v>4.6007999999999996</v>
      </c>
      <c r="G212" s="64">
        <f>4.6033 * CHOOSE(CONTROL!$C$22, $C$13, 100%, $E$13)</f>
        <v>4.6032999999999999</v>
      </c>
      <c r="H212" s="64">
        <f>8.4753* CHOOSE(CONTROL!$C$22, $C$13, 100%, $E$13)</f>
        <v>8.4753000000000007</v>
      </c>
      <c r="I212" s="64">
        <f>8.4777 * CHOOSE(CONTROL!$C$22, $C$13, 100%, $E$13)</f>
        <v>8.4777000000000005</v>
      </c>
      <c r="J212" s="64">
        <f>4.6008 * CHOOSE(CONTROL!$C$22, $C$13, 100%, $E$13)</f>
        <v>4.6007999999999996</v>
      </c>
      <c r="K212" s="64">
        <f>4.6033 * CHOOSE(CONTROL!$C$22, $C$13, 100%, $E$13)</f>
        <v>4.6032999999999999</v>
      </c>
    </row>
    <row r="213" spans="1:11" ht="15">
      <c r="A213" s="13">
        <v>48122</v>
      </c>
      <c r="B213" s="63">
        <f>4.02 * CHOOSE(CONTROL!$C$22, $C$13, 100%, $E$13)</f>
        <v>4.0199999999999996</v>
      </c>
      <c r="C213" s="63">
        <f>4.02 * CHOOSE(CONTROL!$C$22, $C$13, 100%, $E$13)</f>
        <v>4.0199999999999996</v>
      </c>
      <c r="D213" s="63">
        <f>4.04 * CHOOSE(CONTROL!$C$22, $C$13, 100%, $E$13)</f>
        <v>4.04</v>
      </c>
      <c r="E213" s="64">
        <f>4.6087 * CHOOSE(CONTROL!$C$22, $C$13, 100%, $E$13)</f>
        <v>4.6086999999999998</v>
      </c>
      <c r="F213" s="64">
        <f>4.6087 * CHOOSE(CONTROL!$C$22, $C$13, 100%, $E$13)</f>
        <v>4.6086999999999998</v>
      </c>
      <c r="G213" s="64">
        <f>4.6089 * CHOOSE(CONTROL!$C$22, $C$13, 100%, $E$13)</f>
        <v>4.6089000000000002</v>
      </c>
      <c r="H213" s="64">
        <f>8.493* CHOOSE(CONTROL!$C$22, $C$13, 100%, $E$13)</f>
        <v>8.4930000000000003</v>
      </c>
      <c r="I213" s="64">
        <f>8.4931 * CHOOSE(CONTROL!$C$22, $C$13, 100%, $E$13)</f>
        <v>8.4931000000000001</v>
      </c>
      <c r="J213" s="64">
        <f>4.6087 * CHOOSE(CONTROL!$C$22, $C$13, 100%, $E$13)</f>
        <v>4.6086999999999998</v>
      </c>
      <c r="K213" s="64">
        <f>4.6089 * CHOOSE(CONTROL!$C$22, $C$13, 100%, $E$13)</f>
        <v>4.6089000000000002</v>
      </c>
    </row>
    <row r="214" spans="1:11" ht="15">
      <c r="A214" s="13">
        <v>48153</v>
      </c>
      <c r="B214" s="63">
        <f>4.0231 * CHOOSE(CONTROL!$C$22, $C$13, 100%, $E$13)</f>
        <v>4.0231000000000003</v>
      </c>
      <c r="C214" s="63">
        <f>4.0231 * CHOOSE(CONTROL!$C$22, $C$13, 100%, $E$13)</f>
        <v>4.0231000000000003</v>
      </c>
      <c r="D214" s="63">
        <f>4.043 * CHOOSE(CONTROL!$C$22, $C$13, 100%, $E$13)</f>
        <v>4.0430000000000001</v>
      </c>
      <c r="E214" s="64">
        <f>4.6214 * CHOOSE(CONTROL!$C$22, $C$13, 100%, $E$13)</f>
        <v>4.6214000000000004</v>
      </c>
      <c r="F214" s="64">
        <f>4.6214 * CHOOSE(CONTROL!$C$22, $C$13, 100%, $E$13)</f>
        <v>4.6214000000000004</v>
      </c>
      <c r="G214" s="64">
        <f>4.6216 * CHOOSE(CONTROL!$C$22, $C$13, 100%, $E$13)</f>
        <v>4.6215999999999999</v>
      </c>
      <c r="H214" s="64">
        <f>8.5107* CHOOSE(CONTROL!$C$22, $C$13, 100%, $E$13)</f>
        <v>8.5106999999999999</v>
      </c>
      <c r="I214" s="64">
        <f>8.5108 * CHOOSE(CONTROL!$C$22, $C$13, 100%, $E$13)</f>
        <v>8.5107999999999997</v>
      </c>
      <c r="J214" s="64">
        <f>4.6214 * CHOOSE(CONTROL!$C$22, $C$13, 100%, $E$13)</f>
        <v>4.6214000000000004</v>
      </c>
      <c r="K214" s="64">
        <f>4.6216 * CHOOSE(CONTROL!$C$22, $C$13, 100%, $E$13)</f>
        <v>4.6215999999999999</v>
      </c>
    </row>
    <row r="215" spans="1:11" ht="15">
      <c r="A215" s="13">
        <v>48183</v>
      </c>
      <c r="B215" s="63">
        <f>4.0231 * CHOOSE(CONTROL!$C$22, $C$13, 100%, $E$13)</f>
        <v>4.0231000000000003</v>
      </c>
      <c r="C215" s="63">
        <f>4.0231 * CHOOSE(CONTROL!$C$22, $C$13, 100%, $E$13)</f>
        <v>4.0231000000000003</v>
      </c>
      <c r="D215" s="63">
        <f>4.043 * CHOOSE(CONTROL!$C$22, $C$13, 100%, $E$13)</f>
        <v>4.0430000000000001</v>
      </c>
      <c r="E215" s="64">
        <f>4.5948 * CHOOSE(CONTROL!$C$22, $C$13, 100%, $E$13)</f>
        <v>4.5948000000000002</v>
      </c>
      <c r="F215" s="64">
        <f>4.5948 * CHOOSE(CONTROL!$C$22, $C$13, 100%, $E$13)</f>
        <v>4.5948000000000002</v>
      </c>
      <c r="G215" s="64">
        <f>4.595 * CHOOSE(CONTROL!$C$22, $C$13, 100%, $E$13)</f>
        <v>4.5949999999999998</v>
      </c>
      <c r="H215" s="64">
        <f>8.5284* CHOOSE(CONTROL!$C$22, $C$13, 100%, $E$13)</f>
        <v>8.5283999999999995</v>
      </c>
      <c r="I215" s="64">
        <f>8.5286 * CHOOSE(CONTROL!$C$22, $C$13, 100%, $E$13)</f>
        <v>8.5286000000000008</v>
      </c>
      <c r="J215" s="64">
        <f>4.5948 * CHOOSE(CONTROL!$C$22, $C$13, 100%, $E$13)</f>
        <v>4.5948000000000002</v>
      </c>
      <c r="K215" s="64">
        <f>4.595 * CHOOSE(CONTROL!$C$22, $C$13, 100%, $E$13)</f>
        <v>4.5949999999999998</v>
      </c>
    </row>
    <row r="216" spans="1:11" ht="15">
      <c r="A216" s="13">
        <v>48214</v>
      </c>
      <c r="B216" s="63">
        <f>4.0668 * CHOOSE(CONTROL!$C$22, $C$13, 100%, $E$13)</f>
        <v>4.0667999999999997</v>
      </c>
      <c r="C216" s="63">
        <f>4.0668 * CHOOSE(CONTROL!$C$22, $C$13, 100%, $E$13)</f>
        <v>4.0667999999999997</v>
      </c>
      <c r="D216" s="63">
        <f>4.0868 * CHOOSE(CONTROL!$C$22, $C$13, 100%, $E$13)</f>
        <v>4.0868000000000002</v>
      </c>
      <c r="E216" s="64">
        <f>4.6594 * CHOOSE(CONTROL!$C$22, $C$13, 100%, $E$13)</f>
        <v>4.6593999999999998</v>
      </c>
      <c r="F216" s="64">
        <f>4.6594 * CHOOSE(CONTROL!$C$22, $C$13, 100%, $E$13)</f>
        <v>4.6593999999999998</v>
      </c>
      <c r="G216" s="64">
        <f>4.6595 * CHOOSE(CONTROL!$C$22, $C$13, 100%, $E$13)</f>
        <v>4.6595000000000004</v>
      </c>
      <c r="H216" s="64">
        <f>8.5462* CHOOSE(CONTROL!$C$22, $C$13, 100%, $E$13)</f>
        <v>8.5462000000000007</v>
      </c>
      <c r="I216" s="64">
        <f>8.5463 * CHOOSE(CONTROL!$C$22, $C$13, 100%, $E$13)</f>
        <v>8.5463000000000005</v>
      </c>
      <c r="J216" s="64">
        <f>4.6594 * CHOOSE(CONTROL!$C$22, $C$13, 100%, $E$13)</f>
        <v>4.6593999999999998</v>
      </c>
      <c r="K216" s="64">
        <f>4.6595 * CHOOSE(CONTROL!$C$22, $C$13, 100%, $E$13)</f>
        <v>4.6595000000000004</v>
      </c>
    </row>
    <row r="217" spans="1:11" ht="15">
      <c r="A217" s="13">
        <v>48245</v>
      </c>
      <c r="B217" s="63">
        <f>4.0637 * CHOOSE(CONTROL!$C$22, $C$13, 100%, $E$13)</f>
        <v>4.0636999999999999</v>
      </c>
      <c r="C217" s="63">
        <f>4.0637 * CHOOSE(CONTROL!$C$22, $C$13, 100%, $E$13)</f>
        <v>4.0636999999999999</v>
      </c>
      <c r="D217" s="63">
        <f>4.0837 * CHOOSE(CONTROL!$C$22, $C$13, 100%, $E$13)</f>
        <v>4.0837000000000003</v>
      </c>
      <c r="E217" s="64">
        <f>4.6056 * CHOOSE(CONTROL!$C$22, $C$13, 100%, $E$13)</f>
        <v>4.6055999999999999</v>
      </c>
      <c r="F217" s="64">
        <f>4.6056 * CHOOSE(CONTROL!$C$22, $C$13, 100%, $E$13)</f>
        <v>4.6055999999999999</v>
      </c>
      <c r="G217" s="64">
        <f>4.6058 * CHOOSE(CONTROL!$C$22, $C$13, 100%, $E$13)</f>
        <v>4.6058000000000003</v>
      </c>
      <c r="H217" s="64">
        <f>8.564* CHOOSE(CONTROL!$C$22, $C$13, 100%, $E$13)</f>
        <v>8.5640000000000001</v>
      </c>
      <c r="I217" s="64">
        <f>8.5641 * CHOOSE(CONTROL!$C$22, $C$13, 100%, $E$13)</f>
        <v>8.5640999999999998</v>
      </c>
      <c r="J217" s="64">
        <f>4.6056 * CHOOSE(CONTROL!$C$22, $C$13, 100%, $E$13)</f>
        <v>4.6055999999999999</v>
      </c>
      <c r="K217" s="64">
        <f>4.6058 * CHOOSE(CONTROL!$C$22, $C$13, 100%, $E$13)</f>
        <v>4.6058000000000003</v>
      </c>
    </row>
    <row r="218" spans="1:11" ht="15">
      <c r="A218" s="13">
        <v>48274</v>
      </c>
      <c r="B218" s="63">
        <f>4.0607 * CHOOSE(CONTROL!$C$22, $C$13, 100%, $E$13)</f>
        <v>4.0606999999999998</v>
      </c>
      <c r="C218" s="63">
        <f>4.0607 * CHOOSE(CONTROL!$C$22, $C$13, 100%, $E$13)</f>
        <v>4.0606999999999998</v>
      </c>
      <c r="D218" s="63">
        <f>4.0807 * CHOOSE(CONTROL!$C$22, $C$13, 100%, $E$13)</f>
        <v>4.0807000000000002</v>
      </c>
      <c r="E218" s="64">
        <f>4.6442 * CHOOSE(CONTROL!$C$22, $C$13, 100%, $E$13)</f>
        <v>4.6441999999999997</v>
      </c>
      <c r="F218" s="64">
        <f>4.6442 * CHOOSE(CONTROL!$C$22, $C$13, 100%, $E$13)</f>
        <v>4.6441999999999997</v>
      </c>
      <c r="G218" s="64">
        <f>4.6444 * CHOOSE(CONTROL!$C$22, $C$13, 100%, $E$13)</f>
        <v>4.6444000000000001</v>
      </c>
      <c r="H218" s="64">
        <f>8.5818* CHOOSE(CONTROL!$C$22, $C$13, 100%, $E$13)</f>
        <v>8.5817999999999994</v>
      </c>
      <c r="I218" s="64">
        <f>8.582 * CHOOSE(CONTROL!$C$22, $C$13, 100%, $E$13)</f>
        <v>8.5820000000000007</v>
      </c>
      <c r="J218" s="64">
        <f>4.6442 * CHOOSE(CONTROL!$C$22, $C$13, 100%, $E$13)</f>
        <v>4.6441999999999997</v>
      </c>
      <c r="K218" s="64">
        <f>4.6444 * CHOOSE(CONTROL!$C$22, $C$13, 100%, $E$13)</f>
        <v>4.6444000000000001</v>
      </c>
    </row>
    <row r="219" spans="1:11" ht="15">
      <c r="A219" s="13">
        <v>48305</v>
      </c>
      <c r="B219" s="63">
        <f>4.0585 * CHOOSE(CONTROL!$C$22, $C$13, 100%, $E$13)</f>
        <v>4.0585000000000004</v>
      </c>
      <c r="C219" s="63">
        <f>4.0585 * CHOOSE(CONTROL!$C$22, $C$13, 100%, $E$13)</f>
        <v>4.0585000000000004</v>
      </c>
      <c r="D219" s="63">
        <f>4.0784 * CHOOSE(CONTROL!$C$22, $C$13, 100%, $E$13)</f>
        <v>4.0784000000000002</v>
      </c>
      <c r="E219" s="64">
        <f>4.6837 * CHOOSE(CONTROL!$C$22, $C$13, 100%, $E$13)</f>
        <v>4.6837</v>
      </c>
      <c r="F219" s="64">
        <f>4.6837 * CHOOSE(CONTROL!$C$22, $C$13, 100%, $E$13)</f>
        <v>4.6837</v>
      </c>
      <c r="G219" s="64">
        <f>4.6838 * CHOOSE(CONTROL!$C$22, $C$13, 100%, $E$13)</f>
        <v>4.6837999999999997</v>
      </c>
      <c r="H219" s="64">
        <f>8.5997* CHOOSE(CONTROL!$C$22, $C$13, 100%, $E$13)</f>
        <v>8.5997000000000003</v>
      </c>
      <c r="I219" s="64">
        <f>8.5999 * CHOOSE(CONTROL!$C$22, $C$13, 100%, $E$13)</f>
        <v>8.5998999999999999</v>
      </c>
      <c r="J219" s="64">
        <f>4.6837 * CHOOSE(CONTROL!$C$22, $C$13, 100%, $E$13)</f>
        <v>4.6837</v>
      </c>
      <c r="K219" s="64">
        <f>4.6838 * CHOOSE(CONTROL!$C$22, $C$13, 100%, $E$13)</f>
        <v>4.6837999999999997</v>
      </c>
    </row>
    <row r="220" spans="1:11" ht="15">
      <c r="A220" s="13">
        <v>48335</v>
      </c>
      <c r="B220" s="63">
        <f>4.0585 * CHOOSE(CONTROL!$C$22, $C$13, 100%, $E$13)</f>
        <v>4.0585000000000004</v>
      </c>
      <c r="C220" s="63">
        <f>4.0585 * CHOOSE(CONTROL!$C$22, $C$13, 100%, $E$13)</f>
        <v>4.0585000000000004</v>
      </c>
      <c r="D220" s="63">
        <f>4.0984 * CHOOSE(CONTROL!$C$22, $C$13, 100%, $E$13)</f>
        <v>4.0983999999999998</v>
      </c>
      <c r="E220" s="64">
        <f>4.7 * CHOOSE(CONTROL!$C$22, $C$13, 100%, $E$13)</f>
        <v>4.7</v>
      </c>
      <c r="F220" s="64">
        <f>4.7 * CHOOSE(CONTROL!$C$22, $C$13, 100%, $E$13)</f>
        <v>4.7</v>
      </c>
      <c r="G220" s="64">
        <f>4.7025 * CHOOSE(CONTROL!$C$22, $C$13, 100%, $E$13)</f>
        <v>4.7024999999999997</v>
      </c>
      <c r="H220" s="64">
        <f>8.6176* CHOOSE(CONTROL!$C$22, $C$13, 100%, $E$13)</f>
        <v>8.6175999999999995</v>
      </c>
      <c r="I220" s="64">
        <f>8.62 * CHOOSE(CONTROL!$C$22, $C$13, 100%, $E$13)</f>
        <v>8.6199999999999992</v>
      </c>
      <c r="J220" s="64">
        <f>4.7 * CHOOSE(CONTROL!$C$22, $C$13, 100%, $E$13)</f>
        <v>4.7</v>
      </c>
      <c r="K220" s="64">
        <f>4.7025 * CHOOSE(CONTROL!$C$22, $C$13, 100%, $E$13)</f>
        <v>4.7024999999999997</v>
      </c>
    </row>
    <row r="221" spans="1:11" ht="15">
      <c r="A221" s="13">
        <v>48366</v>
      </c>
      <c r="B221" s="63">
        <f>4.0646 * CHOOSE(CONTROL!$C$22, $C$13, 100%, $E$13)</f>
        <v>4.0646000000000004</v>
      </c>
      <c r="C221" s="63">
        <f>4.0646 * CHOOSE(CONTROL!$C$22, $C$13, 100%, $E$13)</f>
        <v>4.0646000000000004</v>
      </c>
      <c r="D221" s="63">
        <f>4.1045 * CHOOSE(CONTROL!$C$22, $C$13, 100%, $E$13)</f>
        <v>4.1044999999999998</v>
      </c>
      <c r="E221" s="64">
        <f>4.6879 * CHOOSE(CONTROL!$C$22, $C$13, 100%, $E$13)</f>
        <v>4.6879</v>
      </c>
      <c r="F221" s="64">
        <f>4.6879 * CHOOSE(CONTROL!$C$22, $C$13, 100%, $E$13)</f>
        <v>4.6879</v>
      </c>
      <c r="G221" s="64">
        <f>4.6903 * CHOOSE(CONTROL!$C$22, $C$13, 100%, $E$13)</f>
        <v>4.6902999999999997</v>
      </c>
      <c r="H221" s="64">
        <f>8.6355* CHOOSE(CONTROL!$C$22, $C$13, 100%, $E$13)</f>
        <v>8.6355000000000004</v>
      </c>
      <c r="I221" s="64">
        <f>8.638 * CHOOSE(CONTROL!$C$22, $C$13, 100%, $E$13)</f>
        <v>8.6379999999999999</v>
      </c>
      <c r="J221" s="64">
        <f>4.6879 * CHOOSE(CONTROL!$C$22, $C$13, 100%, $E$13)</f>
        <v>4.6879</v>
      </c>
      <c r="K221" s="64">
        <f>4.6903 * CHOOSE(CONTROL!$C$22, $C$13, 100%, $E$13)</f>
        <v>4.6902999999999997</v>
      </c>
    </row>
    <row r="222" spans="1:11" ht="15">
      <c r="A222" s="13">
        <v>48396</v>
      </c>
      <c r="B222" s="63">
        <f>4.1497 * CHOOSE(CONTROL!$C$22, $C$13, 100%, $E$13)</f>
        <v>4.1497000000000002</v>
      </c>
      <c r="C222" s="63">
        <f>4.1497 * CHOOSE(CONTROL!$C$22, $C$13, 100%, $E$13)</f>
        <v>4.1497000000000002</v>
      </c>
      <c r="D222" s="63">
        <f>4.1896 * CHOOSE(CONTROL!$C$22, $C$13, 100%, $E$13)</f>
        <v>4.1896000000000004</v>
      </c>
      <c r="E222" s="64">
        <f>4.7922 * CHOOSE(CONTROL!$C$22, $C$13, 100%, $E$13)</f>
        <v>4.7922000000000002</v>
      </c>
      <c r="F222" s="64">
        <f>4.7922 * CHOOSE(CONTROL!$C$22, $C$13, 100%, $E$13)</f>
        <v>4.7922000000000002</v>
      </c>
      <c r="G222" s="64">
        <f>4.7946 * CHOOSE(CONTROL!$C$22, $C$13, 100%, $E$13)</f>
        <v>4.7946</v>
      </c>
      <c r="H222" s="64">
        <f>8.6535* CHOOSE(CONTROL!$C$22, $C$13, 100%, $E$13)</f>
        <v>8.6534999999999993</v>
      </c>
      <c r="I222" s="64">
        <f>8.656 * CHOOSE(CONTROL!$C$22, $C$13, 100%, $E$13)</f>
        <v>8.6560000000000006</v>
      </c>
      <c r="J222" s="64">
        <f>4.7922 * CHOOSE(CONTROL!$C$22, $C$13, 100%, $E$13)</f>
        <v>4.7922000000000002</v>
      </c>
      <c r="K222" s="64">
        <f>4.7946 * CHOOSE(CONTROL!$C$22, $C$13, 100%, $E$13)</f>
        <v>4.7946</v>
      </c>
    </row>
    <row r="223" spans="1:11" ht="15">
      <c r="A223" s="13">
        <v>48427</v>
      </c>
      <c r="B223" s="63">
        <f>4.1564 * CHOOSE(CONTROL!$C$22, $C$13, 100%, $E$13)</f>
        <v>4.1563999999999997</v>
      </c>
      <c r="C223" s="63">
        <f>4.1564 * CHOOSE(CONTROL!$C$22, $C$13, 100%, $E$13)</f>
        <v>4.1563999999999997</v>
      </c>
      <c r="D223" s="63">
        <f>4.1963 * CHOOSE(CONTROL!$C$22, $C$13, 100%, $E$13)</f>
        <v>4.1962999999999999</v>
      </c>
      <c r="E223" s="64">
        <f>4.7477 * CHOOSE(CONTROL!$C$22, $C$13, 100%, $E$13)</f>
        <v>4.7477</v>
      </c>
      <c r="F223" s="64">
        <f>4.7477 * CHOOSE(CONTROL!$C$22, $C$13, 100%, $E$13)</f>
        <v>4.7477</v>
      </c>
      <c r="G223" s="64">
        <f>4.7501 * CHOOSE(CONTROL!$C$22, $C$13, 100%, $E$13)</f>
        <v>4.7500999999999998</v>
      </c>
      <c r="H223" s="64">
        <f>8.6716* CHOOSE(CONTROL!$C$22, $C$13, 100%, $E$13)</f>
        <v>8.6715999999999998</v>
      </c>
      <c r="I223" s="64">
        <f>8.674 * CHOOSE(CONTROL!$C$22, $C$13, 100%, $E$13)</f>
        <v>8.6739999999999995</v>
      </c>
      <c r="J223" s="64">
        <f>4.7477 * CHOOSE(CONTROL!$C$22, $C$13, 100%, $E$13)</f>
        <v>4.7477</v>
      </c>
      <c r="K223" s="64">
        <f>4.7501 * CHOOSE(CONTROL!$C$22, $C$13, 100%, $E$13)</f>
        <v>4.7500999999999998</v>
      </c>
    </row>
    <row r="224" spans="1:11" ht="15">
      <c r="A224" s="13">
        <v>48458</v>
      </c>
      <c r="B224" s="63">
        <f>4.1533 * CHOOSE(CONTROL!$C$22, $C$13, 100%, $E$13)</f>
        <v>4.1532999999999998</v>
      </c>
      <c r="C224" s="63">
        <f>4.1533 * CHOOSE(CONTROL!$C$22, $C$13, 100%, $E$13)</f>
        <v>4.1532999999999998</v>
      </c>
      <c r="D224" s="63">
        <f>4.1933 * CHOOSE(CONTROL!$C$22, $C$13, 100%, $E$13)</f>
        <v>4.1932999999999998</v>
      </c>
      <c r="E224" s="64">
        <f>4.7401 * CHOOSE(CONTROL!$C$22, $C$13, 100%, $E$13)</f>
        <v>4.7401</v>
      </c>
      <c r="F224" s="64">
        <f>4.7401 * CHOOSE(CONTROL!$C$22, $C$13, 100%, $E$13)</f>
        <v>4.7401</v>
      </c>
      <c r="G224" s="64">
        <f>4.7425 * CHOOSE(CONTROL!$C$22, $C$13, 100%, $E$13)</f>
        <v>4.7424999999999997</v>
      </c>
      <c r="H224" s="64">
        <f>8.6896* CHOOSE(CONTROL!$C$22, $C$13, 100%, $E$13)</f>
        <v>8.6896000000000004</v>
      </c>
      <c r="I224" s="64">
        <f>8.6921 * CHOOSE(CONTROL!$C$22, $C$13, 100%, $E$13)</f>
        <v>8.6920999999999999</v>
      </c>
      <c r="J224" s="64">
        <f>4.7401 * CHOOSE(CONTROL!$C$22, $C$13, 100%, $E$13)</f>
        <v>4.7401</v>
      </c>
      <c r="K224" s="64">
        <f>4.7425 * CHOOSE(CONTROL!$C$22, $C$13, 100%, $E$13)</f>
        <v>4.7424999999999997</v>
      </c>
    </row>
    <row r="225" spans="1:11" ht="15">
      <c r="A225" s="13">
        <v>48488</v>
      </c>
      <c r="B225" s="63">
        <f>4.1491 * CHOOSE(CONTROL!$C$22, $C$13, 100%, $E$13)</f>
        <v>4.1490999999999998</v>
      </c>
      <c r="C225" s="63">
        <f>4.1491 * CHOOSE(CONTROL!$C$22, $C$13, 100%, $E$13)</f>
        <v>4.1490999999999998</v>
      </c>
      <c r="D225" s="63">
        <f>4.1691 * CHOOSE(CONTROL!$C$22, $C$13, 100%, $E$13)</f>
        <v>4.1691000000000003</v>
      </c>
      <c r="E225" s="64">
        <f>4.7485 * CHOOSE(CONTROL!$C$22, $C$13, 100%, $E$13)</f>
        <v>4.7484999999999999</v>
      </c>
      <c r="F225" s="64">
        <f>4.7485 * CHOOSE(CONTROL!$C$22, $C$13, 100%, $E$13)</f>
        <v>4.7484999999999999</v>
      </c>
      <c r="G225" s="64">
        <f>4.7487 * CHOOSE(CONTROL!$C$22, $C$13, 100%, $E$13)</f>
        <v>4.7487000000000004</v>
      </c>
      <c r="H225" s="64">
        <f>8.7077* CHOOSE(CONTROL!$C$22, $C$13, 100%, $E$13)</f>
        <v>8.7077000000000009</v>
      </c>
      <c r="I225" s="64">
        <f>8.7079 * CHOOSE(CONTROL!$C$22, $C$13, 100%, $E$13)</f>
        <v>8.7079000000000004</v>
      </c>
      <c r="J225" s="64">
        <f>4.7485 * CHOOSE(CONTROL!$C$22, $C$13, 100%, $E$13)</f>
        <v>4.7484999999999999</v>
      </c>
      <c r="K225" s="64">
        <f>4.7487 * CHOOSE(CONTROL!$C$22, $C$13, 100%, $E$13)</f>
        <v>4.7487000000000004</v>
      </c>
    </row>
    <row r="226" spans="1:11" ht="15">
      <c r="A226" s="13">
        <v>48519</v>
      </c>
      <c r="B226" s="63">
        <f>4.1522 * CHOOSE(CONTROL!$C$22, $C$13, 100%, $E$13)</f>
        <v>4.1521999999999997</v>
      </c>
      <c r="C226" s="63">
        <f>4.1522 * CHOOSE(CONTROL!$C$22, $C$13, 100%, $E$13)</f>
        <v>4.1521999999999997</v>
      </c>
      <c r="D226" s="63">
        <f>4.1721 * CHOOSE(CONTROL!$C$22, $C$13, 100%, $E$13)</f>
        <v>4.1721000000000004</v>
      </c>
      <c r="E226" s="64">
        <f>4.7616 * CHOOSE(CONTROL!$C$22, $C$13, 100%, $E$13)</f>
        <v>4.7615999999999996</v>
      </c>
      <c r="F226" s="64">
        <f>4.7616 * CHOOSE(CONTROL!$C$22, $C$13, 100%, $E$13)</f>
        <v>4.7615999999999996</v>
      </c>
      <c r="G226" s="64">
        <f>4.7617 * CHOOSE(CONTROL!$C$22, $C$13, 100%, $E$13)</f>
        <v>4.7617000000000003</v>
      </c>
      <c r="H226" s="64">
        <f>8.7259* CHOOSE(CONTROL!$C$22, $C$13, 100%, $E$13)</f>
        <v>8.7258999999999993</v>
      </c>
      <c r="I226" s="64">
        <f>8.7261 * CHOOSE(CONTROL!$C$22, $C$13, 100%, $E$13)</f>
        <v>8.7261000000000006</v>
      </c>
      <c r="J226" s="64">
        <f>4.7616 * CHOOSE(CONTROL!$C$22, $C$13, 100%, $E$13)</f>
        <v>4.7615999999999996</v>
      </c>
      <c r="K226" s="64">
        <f>4.7617 * CHOOSE(CONTROL!$C$22, $C$13, 100%, $E$13)</f>
        <v>4.7617000000000003</v>
      </c>
    </row>
    <row r="227" spans="1:11" ht="15">
      <c r="A227" s="13">
        <v>48549</v>
      </c>
      <c r="B227" s="63">
        <f>4.1522 * CHOOSE(CONTROL!$C$22, $C$13, 100%, $E$13)</f>
        <v>4.1521999999999997</v>
      </c>
      <c r="C227" s="63">
        <f>4.1522 * CHOOSE(CONTROL!$C$22, $C$13, 100%, $E$13)</f>
        <v>4.1521999999999997</v>
      </c>
      <c r="D227" s="63">
        <f>4.1721 * CHOOSE(CONTROL!$C$22, $C$13, 100%, $E$13)</f>
        <v>4.1721000000000004</v>
      </c>
      <c r="E227" s="64">
        <f>4.7343 * CHOOSE(CONTROL!$C$22, $C$13, 100%, $E$13)</f>
        <v>4.7343000000000002</v>
      </c>
      <c r="F227" s="64">
        <f>4.7343 * CHOOSE(CONTROL!$C$22, $C$13, 100%, $E$13)</f>
        <v>4.7343000000000002</v>
      </c>
      <c r="G227" s="64">
        <f>4.7344 * CHOOSE(CONTROL!$C$22, $C$13, 100%, $E$13)</f>
        <v>4.7343999999999999</v>
      </c>
      <c r="H227" s="64">
        <f>8.7441* CHOOSE(CONTROL!$C$22, $C$13, 100%, $E$13)</f>
        <v>8.7440999999999995</v>
      </c>
      <c r="I227" s="64">
        <f>8.7442 * CHOOSE(CONTROL!$C$22, $C$13, 100%, $E$13)</f>
        <v>8.7441999999999993</v>
      </c>
      <c r="J227" s="64">
        <f>4.7343 * CHOOSE(CONTROL!$C$22, $C$13, 100%, $E$13)</f>
        <v>4.7343000000000002</v>
      </c>
      <c r="K227" s="64">
        <f>4.7344 * CHOOSE(CONTROL!$C$22, $C$13, 100%, $E$13)</f>
        <v>4.7343999999999999</v>
      </c>
    </row>
    <row r="228" spans="1:11" ht="15">
      <c r="A228" s="13">
        <v>48580</v>
      </c>
      <c r="B228" s="63">
        <f>4.1941 * CHOOSE(CONTROL!$C$22, $C$13, 100%, $E$13)</f>
        <v>4.1940999999999997</v>
      </c>
      <c r="C228" s="63">
        <f>4.1941 * CHOOSE(CONTROL!$C$22, $C$13, 100%, $E$13)</f>
        <v>4.1940999999999997</v>
      </c>
      <c r="D228" s="63">
        <f>4.214 * CHOOSE(CONTROL!$C$22, $C$13, 100%, $E$13)</f>
        <v>4.2140000000000004</v>
      </c>
      <c r="E228" s="64">
        <f>4.8032 * CHOOSE(CONTROL!$C$22, $C$13, 100%, $E$13)</f>
        <v>4.8032000000000004</v>
      </c>
      <c r="F228" s="64">
        <f>4.8032 * CHOOSE(CONTROL!$C$22, $C$13, 100%, $E$13)</f>
        <v>4.8032000000000004</v>
      </c>
      <c r="G228" s="64">
        <f>4.8033 * CHOOSE(CONTROL!$C$22, $C$13, 100%, $E$13)</f>
        <v>4.8033000000000001</v>
      </c>
      <c r="H228" s="64">
        <f>8.7623* CHOOSE(CONTROL!$C$22, $C$13, 100%, $E$13)</f>
        <v>8.7622999999999998</v>
      </c>
      <c r="I228" s="64">
        <f>8.7624 * CHOOSE(CONTROL!$C$22, $C$13, 100%, $E$13)</f>
        <v>8.7623999999999995</v>
      </c>
      <c r="J228" s="64">
        <f>4.8032 * CHOOSE(CONTROL!$C$22, $C$13, 100%, $E$13)</f>
        <v>4.8032000000000004</v>
      </c>
      <c r="K228" s="64">
        <f>4.8033 * CHOOSE(CONTROL!$C$22, $C$13, 100%, $E$13)</f>
        <v>4.8033000000000001</v>
      </c>
    </row>
    <row r="229" spans="1:11" ht="15">
      <c r="A229" s="13">
        <v>48611</v>
      </c>
      <c r="B229" s="63">
        <f>4.191 * CHOOSE(CONTROL!$C$22, $C$13, 100%, $E$13)</f>
        <v>4.1909999999999998</v>
      </c>
      <c r="C229" s="63">
        <f>4.191 * CHOOSE(CONTROL!$C$22, $C$13, 100%, $E$13)</f>
        <v>4.1909999999999998</v>
      </c>
      <c r="D229" s="63">
        <f>4.211 * CHOOSE(CONTROL!$C$22, $C$13, 100%, $E$13)</f>
        <v>4.2110000000000003</v>
      </c>
      <c r="E229" s="64">
        <f>4.7481 * CHOOSE(CONTROL!$C$22, $C$13, 100%, $E$13)</f>
        <v>4.7481</v>
      </c>
      <c r="F229" s="64">
        <f>4.7481 * CHOOSE(CONTROL!$C$22, $C$13, 100%, $E$13)</f>
        <v>4.7481</v>
      </c>
      <c r="G229" s="64">
        <f>4.7483 * CHOOSE(CONTROL!$C$22, $C$13, 100%, $E$13)</f>
        <v>4.7483000000000004</v>
      </c>
      <c r="H229" s="64">
        <f>8.7805* CHOOSE(CONTROL!$C$22, $C$13, 100%, $E$13)</f>
        <v>8.7805</v>
      </c>
      <c r="I229" s="64">
        <f>8.7807 * CHOOSE(CONTROL!$C$22, $C$13, 100%, $E$13)</f>
        <v>8.7806999999999995</v>
      </c>
      <c r="J229" s="64">
        <f>4.7481 * CHOOSE(CONTROL!$C$22, $C$13, 100%, $E$13)</f>
        <v>4.7481</v>
      </c>
      <c r="K229" s="64">
        <f>4.7483 * CHOOSE(CONTROL!$C$22, $C$13, 100%, $E$13)</f>
        <v>4.7483000000000004</v>
      </c>
    </row>
    <row r="230" spans="1:11" ht="15">
      <c r="A230" s="13">
        <v>48639</v>
      </c>
      <c r="B230" s="63">
        <f>4.188 * CHOOSE(CONTROL!$C$22, $C$13, 100%, $E$13)</f>
        <v>4.1879999999999997</v>
      </c>
      <c r="C230" s="63">
        <f>4.188 * CHOOSE(CONTROL!$C$22, $C$13, 100%, $E$13)</f>
        <v>4.1879999999999997</v>
      </c>
      <c r="D230" s="63">
        <f>4.2079 * CHOOSE(CONTROL!$C$22, $C$13, 100%, $E$13)</f>
        <v>4.2079000000000004</v>
      </c>
      <c r="E230" s="64">
        <f>4.7877 * CHOOSE(CONTROL!$C$22, $C$13, 100%, $E$13)</f>
        <v>4.7877000000000001</v>
      </c>
      <c r="F230" s="64">
        <f>4.7877 * CHOOSE(CONTROL!$C$22, $C$13, 100%, $E$13)</f>
        <v>4.7877000000000001</v>
      </c>
      <c r="G230" s="64">
        <f>4.7879 * CHOOSE(CONTROL!$C$22, $C$13, 100%, $E$13)</f>
        <v>4.7878999999999996</v>
      </c>
      <c r="H230" s="64">
        <f>8.7988* CHOOSE(CONTROL!$C$22, $C$13, 100%, $E$13)</f>
        <v>8.7988</v>
      </c>
      <c r="I230" s="64">
        <f>8.799 * CHOOSE(CONTROL!$C$22, $C$13, 100%, $E$13)</f>
        <v>8.7989999999999995</v>
      </c>
      <c r="J230" s="64">
        <f>4.7877 * CHOOSE(CONTROL!$C$22, $C$13, 100%, $E$13)</f>
        <v>4.7877000000000001</v>
      </c>
      <c r="K230" s="64">
        <f>4.7879 * CHOOSE(CONTROL!$C$22, $C$13, 100%, $E$13)</f>
        <v>4.7878999999999996</v>
      </c>
    </row>
    <row r="231" spans="1:11" ht="15">
      <c r="A231" s="13">
        <v>48670</v>
      </c>
      <c r="B231" s="63">
        <f>4.1858 * CHOOSE(CONTROL!$C$22, $C$13, 100%, $E$13)</f>
        <v>4.1858000000000004</v>
      </c>
      <c r="C231" s="63">
        <f>4.1858 * CHOOSE(CONTROL!$C$22, $C$13, 100%, $E$13)</f>
        <v>4.1858000000000004</v>
      </c>
      <c r="D231" s="63">
        <f>4.2058 * CHOOSE(CONTROL!$C$22, $C$13, 100%, $E$13)</f>
        <v>4.2058</v>
      </c>
      <c r="E231" s="64">
        <f>4.8283 * CHOOSE(CONTROL!$C$22, $C$13, 100%, $E$13)</f>
        <v>4.8282999999999996</v>
      </c>
      <c r="F231" s="64">
        <f>4.8283 * CHOOSE(CONTROL!$C$22, $C$13, 100%, $E$13)</f>
        <v>4.8282999999999996</v>
      </c>
      <c r="G231" s="64">
        <f>4.8285 * CHOOSE(CONTROL!$C$22, $C$13, 100%, $E$13)</f>
        <v>4.8285</v>
      </c>
      <c r="H231" s="64">
        <f>8.8171* CHOOSE(CONTROL!$C$22, $C$13, 100%, $E$13)</f>
        <v>8.8170999999999999</v>
      </c>
      <c r="I231" s="64">
        <f>8.8173 * CHOOSE(CONTROL!$C$22, $C$13, 100%, $E$13)</f>
        <v>8.8172999999999995</v>
      </c>
      <c r="J231" s="64">
        <f>4.8283 * CHOOSE(CONTROL!$C$22, $C$13, 100%, $E$13)</f>
        <v>4.8282999999999996</v>
      </c>
      <c r="K231" s="64">
        <f>4.8285 * CHOOSE(CONTROL!$C$22, $C$13, 100%, $E$13)</f>
        <v>4.8285</v>
      </c>
    </row>
    <row r="232" spans="1:11" ht="15">
      <c r="A232" s="13">
        <v>48700</v>
      </c>
      <c r="B232" s="63">
        <f>4.1858 * CHOOSE(CONTROL!$C$22, $C$13, 100%, $E$13)</f>
        <v>4.1858000000000004</v>
      </c>
      <c r="C232" s="63">
        <f>4.1858 * CHOOSE(CONTROL!$C$22, $C$13, 100%, $E$13)</f>
        <v>4.1858000000000004</v>
      </c>
      <c r="D232" s="63">
        <f>4.2258 * CHOOSE(CONTROL!$C$22, $C$13, 100%, $E$13)</f>
        <v>4.2257999999999996</v>
      </c>
      <c r="E232" s="64">
        <f>4.8452 * CHOOSE(CONTROL!$C$22, $C$13, 100%, $E$13)</f>
        <v>4.8452000000000002</v>
      </c>
      <c r="F232" s="64">
        <f>4.8452 * CHOOSE(CONTROL!$C$22, $C$13, 100%, $E$13)</f>
        <v>4.8452000000000002</v>
      </c>
      <c r="G232" s="64">
        <f>4.8476 * CHOOSE(CONTROL!$C$22, $C$13, 100%, $E$13)</f>
        <v>4.8475999999999999</v>
      </c>
      <c r="H232" s="64">
        <f>8.8355* CHOOSE(CONTROL!$C$22, $C$13, 100%, $E$13)</f>
        <v>8.8354999999999997</v>
      </c>
      <c r="I232" s="64">
        <f>8.838 * CHOOSE(CONTROL!$C$22, $C$13, 100%, $E$13)</f>
        <v>8.8379999999999992</v>
      </c>
      <c r="J232" s="64">
        <f>4.8452 * CHOOSE(CONTROL!$C$22, $C$13, 100%, $E$13)</f>
        <v>4.8452000000000002</v>
      </c>
      <c r="K232" s="64">
        <f>4.8476 * CHOOSE(CONTROL!$C$22, $C$13, 100%, $E$13)</f>
        <v>4.8475999999999999</v>
      </c>
    </row>
    <row r="233" spans="1:11" ht="15">
      <c r="A233" s="13">
        <v>48731</v>
      </c>
      <c r="B233" s="63">
        <f>4.1919 * CHOOSE(CONTROL!$C$22, $C$13, 100%, $E$13)</f>
        <v>4.1919000000000004</v>
      </c>
      <c r="C233" s="63">
        <f>4.1919 * CHOOSE(CONTROL!$C$22, $C$13, 100%, $E$13)</f>
        <v>4.1919000000000004</v>
      </c>
      <c r="D233" s="63">
        <f>4.2319 * CHOOSE(CONTROL!$C$22, $C$13, 100%, $E$13)</f>
        <v>4.2319000000000004</v>
      </c>
      <c r="E233" s="64">
        <f>4.8326 * CHOOSE(CONTROL!$C$22, $C$13, 100%, $E$13)</f>
        <v>4.8326000000000002</v>
      </c>
      <c r="F233" s="64">
        <f>4.8326 * CHOOSE(CONTROL!$C$22, $C$13, 100%, $E$13)</f>
        <v>4.8326000000000002</v>
      </c>
      <c r="G233" s="64">
        <f>4.835 * CHOOSE(CONTROL!$C$22, $C$13, 100%, $E$13)</f>
        <v>4.835</v>
      </c>
      <c r="H233" s="64">
        <f>8.8539* CHOOSE(CONTROL!$C$22, $C$13, 100%, $E$13)</f>
        <v>8.8538999999999994</v>
      </c>
      <c r="I233" s="64">
        <f>8.8564 * CHOOSE(CONTROL!$C$22, $C$13, 100%, $E$13)</f>
        <v>8.8564000000000007</v>
      </c>
      <c r="J233" s="64">
        <f>4.8326 * CHOOSE(CONTROL!$C$22, $C$13, 100%, $E$13)</f>
        <v>4.8326000000000002</v>
      </c>
      <c r="K233" s="64">
        <f>4.835 * CHOOSE(CONTROL!$C$22, $C$13, 100%, $E$13)</f>
        <v>4.835</v>
      </c>
    </row>
    <row r="234" spans="1:11" ht="15">
      <c r="A234" s="13">
        <v>48761</v>
      </c>
      <c r="B234" s="63">
        <f>4.2719 * CHOOSE(CONTROL!$C$22, $C$13, 100%, $E$13)</f>
        <v>4.2718999999999996</v>
      </c>
      <c r="C234" s="63">
        <f>4.2719 * CHOOSE(CONTROL!$C$22, $C$13, 100%, $E$13)</f>
        <v>4.2718999999999996</v>
      </c>
      <c r="D234" s="63">
        <f>4.3119 * CHOOSE(CONTROL!$C$22, $C$13, 100%, $E$13)</f>
        <v>4.3118999999999996</v>
      </c>
      <c r="E234" s="64">
        <f>4.9466 * CHOOSE(CONTROL!$C$22, $C$13, 100%, $E$13)</f>
        <v>4.9466000000000001</v>
      </c>
      <c r="F234" s="64">
        <f>4.9466 * CHOOSE(CONTROL!$C$22, $C$13, 100%, $E$13)</f>
        <v>4.9466000000000001</v>
      </c>
      <c r="G234" s="64">
        <f>4.9491 * CHOOSE(CONTROL!$C$22, $C$13, 100%, $E$13)</f>
        <v>4.9490999999999996</v>
      </c>
      <c r="H234" s="64">
        <f>8.8724* CHOOSE(CONTROL!$C$22, $C$13, 100%, $E$13)</f>
        <v>8.8724000000000007</v>
      </c>
      <c r="I234" s="64">
        <f>8.8748 * CHOOSE(CONTROL!$C$22, $C$13, 100%, $E$13)</f>
        <v>8.8748000000000005</v>
      </c>
      <c r="J234" s="64">
        <f>4.9466 * CHOOSE(CONTROL!$C$22, $C$13, 100%, $E$13)</f>
        <v>4.9466000000000001</v>
      </c>
      <c r="K234" s="64">
        <f>4.9491 * CHOOSE(CONTROL!$C$22, $C$13, 100%, $E$13)</f>
        <v>4.9490999999999996</v>
      </c>
    </row>
    <row r="235" spans="1:11" ht="15">
      <c r="A235" s="13">
        <v>48792</v>
      </c>
      <c r="B235" s="63">
        <f>4.2786 * CHOOSE(CONTROL!$C$22, $C$13, 100%, $E$13)</f>
        <v>4.2786</v>
      </c>
      <c r="C235" s="63">
        <f>4.2786 * CHOOSE(CONTROL!$C$22, $C$13, 100%, $E$13)</f>
        <v>4.2786</v>
      </c>
      <c r="D235" s="63">
        <f>4.3186 * CHOOSE(CONTROL!$C$22, $C$13, 100%, $E$13)</f>
        <v>4.3186</v>
      </c>
      <c r="E235" s="64">
        <f>4.9008 * CHOOSE(CONTROL!$C$22, $C$13, 100%, $E$13)</f>
        <v>4.9008000000000003</v>
      </c>
      <c r="F235" s="64">
        <f>4.9008 * CHOOSE(CONTROL!$C$22, $C$13, 100%, $E$13)</f>
        <v>4.9008000000000003</v>
      </c>
      <c r="G235" s="64">
        <f>4.9033 * CHOOSE(CONTROL!$C$22, $C$13, 100%, $E$13)</f>
        <v>4.9032999999999998</v>
      </c>
      <c r="H235" s="64">
        <f>8.8909* CHOOSE(CONTROL!$C$22, $C$13, 100%, $E$13)</f>
        <v>8.8909000000000002</v>
      </c>
      <c r="I235" s="64">
        <f>8.8933 * CHOOSE(CONTROL!$C$22, $C$13, 100%, $E$13)</f>
        <v>8.8933</v>
      </c>
      <c r="J235" s="64">
        <f>4.9008 * CHOOSE(CONTROL!$C$22, $C$13, 100%, $E$13)</f>
        <v>4.9008000000000003</v>
      </c>
      <c r="K235" s="64">
        <f>4.9033 * CHOOSE(CONTROL!$C$22, $C$13, 100%, $E$13)</f>
        <v>4.9032999999999998</v>
      </c>
    </row>
    <row r="236" spans="1:11" ht="15">
      <c r="A236" s="13">
        <v>48823</v>
      </c>
      <c r="B236" s="63">
        <f>4.2756 * CHOOSE(CONTROL!$C$22, $C$13, 100%, $E$13)</f>
        <v>4.2755999999999998</v>
      </c>
      <c r="C236" s="63">
        <f>4.2756 * CHOOSE(CONTROL!$C$22, $C$13, 100%, $E$13)</f>
        <v>4.2755999999999998</v>
      </c>
      <c r="D236" s="63">
        <f>4.3155 * CHOOSE(CONTROL!$C$22, $C$13, 100%, $E$13)</f>
        <v>4.3155000000000001</v>
      </c>
      <c r="E236" s="64">
        <f>4.8931 * CHOOSE(CONTROL!$C$22, $C$13, 100%, $E$13)</f>
        <v>4.8930999999999996</v>
      </c>
      <c r="F236" s="64">
        <f>4.8931 * CHOOSE(CONTROL!$C$22, $C$13, 100%, $E$13)</f>
        <v>4.8930999999999996</v>
      </c>
      <c r="G236" s="64">
        <f>4.8955 * CHOOSE(CONTROL!$C$22, $C$13, 100%, $E$13)</f>
        <v>4.8955000000000002</v>
      </c>
      <c r="H236" s="64">
        <f>8.9094* CHOOSE(CONTROL!$C$22, $C$13, 100%, $E$13)</f>
        <v>8.9093999999999998</v>
      </c>
      <c r="I236" s="64">
        <f>8.9118 * CHOOSE(CONTROL!$C$22, $C$13, 100%, $E$13)</f>
        <v>8.9117999999999995</v>
      </c>
      <c r="J236" s="64">
        <f>4.8931 * CHOOSE(CONTROL!$C$22, $C$13, 100%, $E$13)</f>
        <v>4.8930999999999996</v>
      </c>
      <c r="K236" s="64">
        <f>4.8955 * CHOOSE(CONTROL!$C$22, $C$13, 100%, $E$13)</f>
        <v>4.8955000000000002</v>
      </c>
    </row>
    <row r="237" spans="1:11" ht="15">
      <c r="A237" s="13">
        <v>48853</v>
      </c>
      <c r="B237" s="63">
        <f>4.2718 * CHOOSE(CONTROL!$C$22, $C$13, 100%, $E$13)</f>
        <v>4.2717999999999998</v>
      </c>
      <c r="C237" s="63">
        <f>4.2718 * CHOOSE(CONTROL!$C$22, $C$13, 100%, $E$13)</f>
        <v>4.2717999999999998</v>
      </c>
      <c r="D237" s="63">
        <f>4.2917 * CHOOSE(CONTROL!$C$22, $C$13, 100%, $E$13)</f>
        <v>4.2916999999999996</v>
      </c>
      <c r="E237" s="64">
        <f>4.9021 * CHOOSE(CONTROL!$C$22, $C$13, 100%, $E$13)</f>
        <v>4.9020999999999999</v>
      </c>
      <c r="F237" s="64">
        <f>4.9021 * CHOOSE(CONTROL!$C$22, $C$13, 100%, $E$13)</f>
        <v>4.9020999999999999</v>
      </c>
      <c r="G237" s="64">
        <f>4.9023 * CHOOSE(CONTROL!$C$22, $C$13, 100%, $E$13)</f>
        <v>4.9023000000000003</v>
      </c>
      <c r="H237" s="64">
        <f>8.9279* CHOOSE(CONTROL!$C$22, $C$13, 100%, $E$13)</f>
        <v>8.9278999999999993</v>
      </c>
      <c r="I237" s="64">
        <f>8.9281 * CHOOSE(CONTROL!$C$22, $C$13, 100%, $E$13)</f>
        <v>8.9281000000000006</v>
      </c>
      <c r="J237" s="64">
        <f>4.9021 * CHOOSE(CONTROL!$C$22, $C$13, 100%, $E$13)</f>
        <v>4.9020999999999999</v>
      </c>
      <c r="K237" s="64">
        <f>4.9023 * CHOOSE(CONTROL!$C$22, $C$13, 100%, $E$13)</f>
        <v>4.9023000000000003</v>
      </c>
    </row>
    <row r="238" spans="1:11" ht="15">
      <c r="A238" s="13">
        <v>48884</v>
      </c>
      <c r="B238" s="63">
        <f>4.2748 * CHOOSE(CONTROL!$C$22, $C$13, 100%, $E$13)</f>
        <v>4.2747999999999999</v>
      </c>
      <c r="C238" s="63">
        <f>4.2748 * CHOOSE(CONTROL!$C$22, $C$13, 100%, $E$13)</f>
        <v>4.2747999999999999</v>
      </c>
      <c r="D238" s="63">
        <f>4.2948 * CHOOSE(CONTROL!$C$22, $C$13, 100%, $E$13)</f>
        <v>4.2948000000000004</v>
      </c>
      <c r="E238" s="64">
        <f>4.9154 * CHOOSE(CONTROL!$C$22, $C$13, 100%, $E$13)</f>
        <v>4.9154</v>
      </c>
      <c r="F238" s="64">
        <f>4.9154 * CHOOSE(CONTROL!$C$22, $C$13, 100%, $E$13)</f>
        <v>4.9154</v>
      </c>
      <c r="G238" s="64">
        <f>4.9156 * CHOOSE(CONTROL!$C$22, $C$13, 100%, $E$13)</f>
        <v>4.9156000000000004</v>
      </c>
      <c r="H238" s="64">
        <f>8.9465* CHOOSE(CONTROL!$C$22, $C$13, 100%, $E$13)</f>
        <v>8.9465000000000003</v>
      </c>
      <c r="I238" s="64">
        <f>8.9467 * CHOOSE(CONTROL!$C$22, $C$13, 100%, $E$13)</f>
        <v>8.9466999999999999</v>
      </c>
      <c r="J238" s="64">
        <f>4.9154 * CHOOSE(CONTROL!$C$22, $C$13, 100%, $E$13)</f>
        <v>4.9154</v>
      </c>
      <c r="K238" s="64">
        <f>4.9156 * CHOOSE(CONTROL!$C$22, $C$13, 100%, $E$13)</f>
        <v>4.9156000000000004</v>
      </c>
    </row>
    <row r="239" spans="1:11" ht="15">
      <c r="A239" s="13">
        <v>48914</v>
      </c>
      <c r="B239" s="63">
        <f>4.2748 * CHOOSE(CONTROL!$C$22, $C$13, 100%, $E$13)</f>
        <v>4.2747999999999999</v>
      </c>
      <c r="C239" s="63">
        <f>4.2748 * CHOOSE(CONTROL!$C$22, $C$13, 100%, $E$13)</f>
        <v>4.2747999999999999</v>
      </c>
      <c r="D239" s="63">
        <f>4.2948 * CHOOSE(CONTROL!$C$22, $C$13, 100%, $E$13)</f>
        <v>4.2948000000000004</v>
      </c>
      <c r="E239" s="64">
        <f>4.8874 * CHOOSE(CONTROL!$C$22, $C$13, 100%, $E$13)</f>
        <v>4.8874000000000004</v>
      </c>
      <c r="F239" s="64">
        <f>4.8874 * CHOOSE(CONTROL!$C$22, $C$13, 100%, $E$13)</f>
        <v>4.8874000000000004</v>
      </c>
      <c r="G239" s="64">
        <f>4.8876 * CHOOSE(CONTROL!$C$22, $C$13, 100%, $E$13)</f>
        <v>4.8875999999999999</v>
      </c>
      <c r="H239" s="64">
        <f>8.9652* CHOOSE(CONTROL!$C$22, $C$13, 100%, $E$13)</f>
        <v>8.9651999999999994</v>
      </c>
      <c r="I239" s="64">
        <f>8.9654 * CHOOSE(CONTROL!$C$22, $C$13, 100%, $E$13)</f>
        <v>8.9654000000000007</v>
      </c>
      <c r="J239" s="64">
        <f>4.8874 * CHOOSE(CONTROL!$C$22, $C$13, 100%, $E$13)</f>
        <v>4.8874000000000004</v>
      </c>
      <c r="K239" s="64">
        <f>4.8876 * CHOOSE(CONTROL!$C$22, $C$13, 100%, $E$13)</f>
        <v>4.8875999999999999</v>
      </c>
    </row>
    <row r="240" spans="1:11" ht="15">
      <c r="A240" s="13">
        <v>48945</v>
      </c>
      <c r="B240" s="63">
        <f>4.32 * CHOOSE(CONTROL!$C$22, $C$13, 100%, $E$13)</f>
        <v>4.32</v>
      </c>
      <c r="C240" s="63">
        <f>4.32 * CHOOSE(CONTROL!$C$22, $C$13, 100%, $E$13)</f>
        <v>4.32</v>
      </c>
      <c r="D240" s="63">
        <f>4.3399 * CHOOSE(CONTROL!$C$22, $C$13, 100%, $E$13)</f>
        <v>4.3399000000000001</v>
      </c>
      <c r="E240" s="64">
        <f>4.957 * CHOOSE(CONTROL!$C$22, $C$13, 100%, $E$13)</f>
        <v>4.9569999999999999</v>
      </c>
      <c r="F240" s="64">
        <f>4.957 * CHOOSE(CONTROL!$C$22, $C$13, 100%, $E$13)</f>
        <v>4.9569999999999999</v>
      </c>
      <c r="G240" s="64">
        <f>4.9572 * CHOOSE(CONTROL!$C$22, $C$13, 100%, $E$13)</f>
        <v>4.9572000000000003</v>
      </c>
      <c r="H240" s="64">
        <f>8.9839* CHOOSE(CONTROL!$C$22, $C$13, 100%, $E$13)</f>
        <v>8.9839000000000002</v>
      </c>
      <c r="I240" s="64">
        <f>8.984 * CHOOSE(CONTROL!$C$22, $C$13, 100%, $E$13)</f>
        <v>8.984</v>
      </c>
      <c r="J240" s="64">
        <f>4.957 * CHOOSE(CONTROL!$C$22, $C$13, 100%, $E$13)</f>
        <v>4.9569999999999999</v>
      </c>
      <c r="K240" s="64">
        <f>4.9572 * CHOOSE(CONTROL!$C$22, $C$13, 100%, $E$13)</f>
        <v>4.9572000000000003</v>
      </c>
    </row>
    <row r="241" spans="1:11" ht="15">
      <c r="A241" s="13">
        <v>48976</v>
      </c>
      <c r="B241" s="63">
        <f>4.3169 * CHOOSE(CONTROL!$C$22, $C$13, 100%, $E$13)</f>
        <v>4.3169000000000004</v>
      </c>
      <c r="C241" s="63">
        <f>4.3169 * CHOOSE(CONTROL!$C$22, $C$13, 100%, $E$13)</f>
        <v>4.3169000000000004</v>
      </c>
      <c r="D241" s="63">
        <f>4.3369 * CHOOSE(CONTROL!$C$22, $C$13, 100%, $E$13)</f>
        <v>4.3369</v>
      </c>
      <c r="E241" s="64">
        <f>4.9005 * CHOOSE(CONTROL!$C$22, $C$13, 100%, $E$13)</f>
        <v>4.9005000000000001</v>
      </c>
      <c r="F241" s="64">
        <f>4.9005 * CHOOSE(CONTROL!$C$22, $C$13, 100%, $E$13)</f>
        <v>4.9005000000000001</v>
      </c>
      <c r="G241" s="64">
        <f>4.9007 * CHOOSE(CONTROL!$C$22, $C$13, 100%, $E$13)</f>
        <v>4.9006999999999996</v>
      </c>
      <c r="H241" s="64">
        <f>9.0026* CHOOSE(CONTROL!$C$22, $C$13, 100%, $E$13)</f>
        <v>9.0025999999999993</v>
      </c>
      <c r="I241" s="64">
        <f>9.0027 * CHOOSE(CONTROL!$C$22, $C$13, 100%, $E$13)</f>
        <v>9.0027000000000008</v>
      </c>
      <c r="J241" s="64">
        <f>4.9005 * CHOOSE(CONTROL!$C$22, $C$13, 100%, $E$13)</f>
        <v>4.9005000000000001</v>
      </c>
      <c r="K241" s="64">
        <f>4.9007 * CHOOSE(CONTROL!$C$22, $C$13, 100%, $E$13)</f>
        <v>4.9006999999999996</v>
      </c>
    </row>
    <row r="242" spans="1:11" ht="15">
      <c r="A242" s="13">
        <v>49004</v>
      </c>
      <c r="B242" s="63">
        <f>4.3139 * CHOOSE(CONTROL!$C$22, $C$13, 100%, $E$13)</f>
        <v>4.3139000000000003</v>
      </c>
      <c r="C242" s="63">
        <f>4.3139 * CHOOSE(CONTROL!$C$22, $C$13, 100%, $E$13)</f>
        <v>4.3139000000000003</v>
      </c>
      <c r="D242" s="63">
        <f>4.3339 * CHOOSE(CONTROL!$C$22, $C$13, 100%, $E$13)</f>
        <v>4.3338999999999999</v>
      </c>
      <c r="E242" s="64">
        <f>4.9413 * CHOOSE(CONTROL!$C$22, $C$13, 100%, $E$13)</f>
        <v>4.9413</v>
      </c>
      <c r="F242" s="64">
        <f>4.9413 * CHOOSE(CONTROL!$C$22, $C$13, 100%, $E$13)</f>
        <v>4.9413</v>
      </c>
      <c r="G242" s="64">
        <f>4.9414 * CHOOSE(CONTROL!$C$22, $C$13, 100%, $E$13)</f>
        <v>4.9413999999999998</v>
      </c>
      <c r="H242" s="64">
        <f>9.0213* CHOOSE(CONTROL!$C$22, $C$13, 100%, $E$13)</f>
        <v>9.0213000000000001</v>
      </c>
      <c r="I242" s="64">
        <f>9.0215 * CHOOSE(CONTROL!$C$22, $C$13, 100%, $E$13)</f>
        <v>9.0214999999999996</v>
      </c>
      <c r="J242" s="64">
        <f>4.9413 * CHOOSE(CONTROL!$C$22, $C$13, 100%, $E$13)</f>
        <v>4.9413</v>
      </c>
      <c r="K242" s="64">
        <f>4.9414 * CHOOSE(CONTROL!$C$22, $C$13, 100%, $E$13)</f>
        <v>4.9413999999999998</v>
      </c>
    </row>
    <row r="243" spans="1:11" ht="15">
      <c r="A243" s="13">
        <v>49035</v>
      </c>
      <c r="B243" s="63">
        <f>4.3119 * CHOOSE(CONTROL!$C$22, $C$13, 100%, $E$13)</f>
        <v>4.3118999999999996</v>
      </c>
      <c r="C243" s="63">
        <f>4.3119 * CHOOSE(CONTROL!$C$22, $C$13, 100%, $E$13)</f>
        <v>4.3118999999999996</v>
      </c>
      <c r="D243" s="63">
        <f>4.3318 * CHOOSE(CONTROL!$C$22, $C$13, 100%, $E$13)</f>
        <v>4.3318000000000003</v>
      </c>
      <c r="E243" s="64">
        <f>4.9831 * CHOOSE(CONTROL!$C$22, $C$13, 100%, $E$13)</f>
        <v>4.9831000000000003</v>
      </c>
      <c r="F243" s="64">
        <f>4.9831 * CHOOSE(CONTROL!$C$22, $C$13, 100%, $E$13)</f>
        <v>4.9831000000000003</v>
      </c>
      <c r="G243" s="64">
        <f>4.9833 * CHOOSE(CONTROL!$C$22, $C$13, 100%, $E$13)</f>
        <v>4.9832999999999998</v>
      </c>
      <c r="H243" s="64">
        <f>9.0401* CHOOSE(CONTROL!$C$22, $C$13, 100%, $E$13)</f>
        <v>9.0401000000000007</v>
      </c>
      <c r="I243" s="64">
        <f>9.0403 * CHOOSE(CONTROL!$C$22, $C$13, 100%, $E$13)</f>
        <v>9.0403000000000002</v>
      </c>
      <c r="J243" s="64">
        <f>4.9831 * CHOOSE(CONTROL!$C$22, $C$13, 100%, $E$13)</f>
        <v>4.9831000000000003</v>
      </c>
      <c r="K243" s="64">
        <f>4.9833 * CHOOSE(CONTROL!$C$22, $C$13, 100%, $E$13)</f>
        <v>4.9832999999999998</v>
      </c>
    </row>
    <row r="244" spans="1:11" ht="15">
      <c r="A244" s="13">
        <v>49065</v>
      </c>
      <c r="B244" s="63">
        <f>4.3119 * CHOOSE(CONTROL!$C$22, $C$13, 100%, $E$13)</f>
        <v>4.3118999999999996</v>
      </c>
      <c r="C244" s="63">
        <f>4.3119 * CHOOSE(CONTROL!$C$22, $C$13, 100%, $E$13)</f>
        <v>4.3118999999999996</v>
      </c>
      <c r="D244" s="63">
        <f>4.3518 * CHOOSE(CONTROL!$C$22, $C$13, 100%, $E$13)</f>
        <v>4.3517999999999999</v>
      </c>
      <c r="E244" s="64">
        <f>5.0004 * CHOOSE(CONTROL!$C$22, $C$13, 100%, $E$13)</f>
        <v>5.0004</v>
      </c>
      <c r="F244" s="64">
        <f>5.0004 * CHOOSE(CONTROL!$C$22, $C$13, 100%, $E$13)</f>
        <v>5.0004</v>
      </c>
      <c r="G244" s="64">
        <f>5.0028 * CHOOSE(CONTROL!$C$22, $C$13, 100%, $E$13)</f>
        <v>5.0027999999999997</v>
      </c>
      <c r="H244" s="64">
        <f>9.059* CHOOSE(CONTROL!$C$22, $C$13, 100%, $E$13)</f>
        <v>9.0589999999999993</v>
      </c>
      <c r="I244" s="64">
        <f>9.0614 * CHOOSE(CONTROL!$C$22, $C$13, 100%, $E$13)</f>
        <v>9.0614000000000008</v>
      </c>
      <c r="J244" s="64">
        <f>5.0004 * CHOOSE(CONTROL!$C$22, $C$13, 100%, $E$13)</f>
        <v>5.0004</v>
      </c>
      <c r="K244" s="64">
        <f>5.0028 * CHOOSE(CONTROL!$C$22, $C$13, 100%, $E$13)</f>
        <v>5.0027999999999997</v>
      </c>
    </row>
    <row r="245" spans="1:11" ht="15">
      <c r="A245" s="13">
        <v>49096</v>
      </c>
      <c r="B245" s="63">
        <f>4.3179 * CHOOSE(CONTROL!$C$22, $C$13, 100%, $E$13)</f>
        <v>4.3178999999999998</v>
      </c>
      <c r="C245" s="63">
        <f>4.3179 * CHOOSE(CONTROL!$C$22, $C$13, 100%, $E$13)</f>
        <v>4.3178999999999998</v>
      </c>
      <c r="D245" s="63">
        <f>4.3579 * CHOOSE(CONTROL!$C$22, $C$13, 100%, $E$13)</f>
        <v>4.3578999999999999</v>
      </c>
      <c r="E245" s="64">
        <f>4.9873 * CHOOSE(CONTROL!$C$22, $C$13, 100%, $E$13)</f>
        <v>4.9873000000000003</v>
      </c>
      <c r="F245" s="64">
        <f>4.9873 * CHOOSE(CONTROL!$C$22, $C$13, 100%, $E$13)</f>
        <v>4.9873000000000003</v>
      </c>
      <c r="G245" s="64">
        <f>4.9898 * CHOOSE(CONTROL!$C$22, $C$13, 100%, $E$13)</f>
        <v>4.9897999999999998</v>
      </c>
      <c r="H245" s="64">
        <f>9.0778* CHOOSE(CONTROL!$C$22, $C$13, 100%, $E$13)</f>
        <v>9.0777999999999999</v>
      </c>
      <c r="I245" s="64">
        <f>9.0803 * CHOOSE(CONTROL!$C$22, $C$13, 100%, $E$13)</f>
        <v>9.0802999999999994</v>
      </c>
      <c r="J245" s="64">
        <f>4.9873 * CHOOSE(CONTROL!$C$22, $C$13, 100%, $E$13)</f>
        <v>4.9873000000000003</v>
      </c>
      <c r="K245" s="64">
        <f>4.9898 * CHOOSE(CONTROL!$C$22, $C$13, 100%, $E$13)</f>
        <v>4.9897999999999998</v>
      </c>
    </row>
    <row r="246" spans="1:11" ht="15">
      <c r="A246" s="13">
        <v>49126</v>
      </c>
      <c r="B246" s="63">
        <f>4.4051 * CHOOSE(CONTROL!$C$22, $C$13, 100%, $E$13)</f>
        <v>4.4051</v>
      </c>
      <c r="C246" s="63">
        <f>4.4051 * CHOOSE(CONTROL!$C$22, $C$13, 100%, $E$13)</f>
        <v>4.4051</v>
      </c>
      <c r="D246" s="63">
        <f>4.4451 * CHOOSE(CONTROL!$C$22, $C$13, 100%, $E$13)</f>
        <v>4.4451000000000001</v>
      </c>
      <c r="E246" s="64">
        <f>5.1009 * CHOOSE(CONTROL!$C$22, $C$13, 100%, $E$13)</f>
        <v>5.1009000000000002</v>
      </c>
      <c r="F246" s="64">
        <f>5.1009 * CHOOSE(CONTROL!$C$22, $C$13, 100%, $E$13)</f>
        <v>5.1009000000000002</v>
      </c>
      <c r="G246" s="64">
        <f>5.1034 * CHOOSE(CONTROL!$C$22, $C$13, 100%, $E$13)</f>
        <v>5.1033999999999997</v>
      </c>
      <c r="H246" s="64">
        <f>9.0967* CHOOSE(CONTROL!$C$22, $C$13, 100%, $E$13)</f>
        <v>9.0967000000000002</v>
      </c>
      <c r="I246" s="64">
        <f>9.0992 * CHOOSE(CONTROL!$C$22, $C$13, 100%, $E$13)</f>
        <v>9.0991999999999997</v>
      </c>
      <c r="J246" s="64">
        <f>5.1009 * CHOOSE(CONTROL!$C$22, $C$13, 100%, $E$13)</f>
        <v>5.1009000000000002</v>
      </c>
      <c r="K246" s="64">
        <f>5.1034 * CHOOSE(CONTROL!$C$22, $C$13, 100%, $E$13)</f>
        <v>5.1033999999999997</v>
      </c>
    </row>
    <row r="247" spans="1:11" ht="15">
      <c r="A247" s="13">
        <v>49157</v>
      </c>
      <c r="B247" s="63">
        <f>4.4118 * CHOOSE(CONTROL!$C$22, $C$13, 100%, $E$13)</f>
        <v>4.4118000000000004</v>
      </c>
      <c r="C247" s="63">
        <f>4.4118 * CHOOSE(CONTROL!$C$22, $C$13, 100%, $E$13)</f>
        <v>4.4118000000000004</v>
      </c>
      <c r="D247" s="63">
        <f>4.4518 * CHOOSE(CONTROL!$C$22, $C$13, 100%, $E$13)</f>
        <v>4.4518000000000004</v>
      </c>
      <c r="E247" s="64">
        <f>5.0538 * CHOOSE(CONTROL!$C$22, $C$13, 100%, $E$13)</f>
        <v>5.0537999999999998</v>
      </c>
      <c r="F247" s="64">
        <f>5.0538 * CHOOSE(CONTROL!$C$22, $C$13, 100%, $E$13)</f>
        <v>5.0537999999999998</v>
      </c>
      <c r="G247" s="64">
        <f>5.0562 * CHOOSE(CONTROL!$C$22, $C$13, 100%, $E$13)</f>
        <v>5.0561999999999996</v>
      </c>
      <c r="H247" s="64">
        <f>9.1157* CHOOSE(CONTROL!$C$22, $C$13, 100%, $E$13)</f>
        <v>9.1157000000000004</v>
      </c>
      <c r="I247" s="64">
        <f>9.1181 * CHOOSE(CONTROL!$C$22, $C$13, 100%, $E$13)</f>
        <v>9.1181000000000001</v>
      </c>
      <c r="J247" s="64">
        <f>5.0538 * CHOOSE(CONTROL!$C$22, $C$13, 100%, $E$13)</f>
        <v>5.0537999999999998</v>
      </c>
      <c r="K247" s="64">
        <f>5.0562 * CHOOSE(CONTROL!$C$22, $C$13, 100%, $E$13)</f>
        <v>5.0561999999999996</v>
      </c>
    </row>
    <row r="248" spans="1:11" ht="15">
      <c r="A248" s="13">
        <v>49188</v>
      </c>
      <c r="B248" s="63">
        <f>4.4088 * CHOOSE(CONTROL!$C$22, $C$13, 100%, $E$13)</f>
        <v>4.4088000000000003</v>
      </c>
      <c r="C248" s="63">
        <f>4.4088 * CHOOSE(CONTROL!$C$22, $C$13, 100%, $E$13)</f>
        <v>4.4088000000000003</v>
      </c>
      <c r="D248" s="63">
        <f>4.4487 * CHOOSE(CONTROL!$C$22, $C$13, 100%, $E$13)</f>
        <v>4.4486999999999997</v>
      </c>
      <c r="E248" s="64">
        <f>5.0459 * CHOOSE(CONTROL!$C$22, $C$13, 100%, $E$13)</f>
        <v>5.0458999999999996</v>
      </c>
      <c r="F248" s="64">
        <f>5.0459 * CHOOSE(CONTROL!$C$22, $C$13, 100%, $E$13)</f>
        <v>5.0458999999999996</v>
      </c>
      <c r="G248" s="64">
        <f>5.0483 * CHOOSE(CONTROL!$C$22, $C$13, 100%, $E$13)</f>
        <v>5.0483000000000002</v>
      </c>
      <c r="H248" s="64">
        <f>9.1347* CHOOSE(CONTROL!$C$22, $C$13, 100%, $E$13)</f>
        <v>9.1347000000000005</v>
      </c>
      <c r="I248" s="64">
        <f>9.1371 * CHOOSE(CONTROL!$C$22, $C$13, 100%, $E$13)</f>
        <v>9.1371000000000002</v>
      </c>
      <c r="J248" s="64">
        <f>5.0459 * CHOOSE(CONTROL!$C$22, $C$13, 100%, $E$13)</f>
        <v>5.0458999999999996</v>
      </c>
      <c r="K248" s="64">
        <f>5.0483 * CHOOSE(CONTROL!$C$22, $C$13, 100%, $E$13)</f>
        <v>5.0483000000000002</v>
      </c>
    </row>
    <row r="249" spans="1:11" ht="15">
      <c r="A249" s="13">
        <v>49218</v>
      </c>
      <c r="B249" s="63">
        <f>4.4054 * CHOOSE(CONTROL!$C$22, $C$13, 100%, $E$13)</f>
        <v>4.4054000000000002</v>
      </c>
      <c r="C249" s="63">
        <f>4.4054 * CHOOSE(CONTROL!$C$22, $C$13, 100%, $E$13)</f>
        <v>4.4054000000000002</v>
      </c>
      <c r="D249" s="63">
        <f>4.4254 * CHOOSE(CONTROL!$C$22, $C$13, 100%, $E$13)</f>
        <v>4.4253999999999998</v>
      </c>
      <c r="E249" s="64">
        <f>5.0555 * CHOOSE(CONTROL!$C$22, $C$13, 100%, $E$13)</f>
        <v>5.0555000000000003</v>
      </c>
      <c r="F249" s="64">
        <f>5.0555 * CHOOSE(CONTROL!$C$22, $C$13, 100%, $E$13)</f>
        <v>5.0555000000000003</v>
      </c>
      <c r="G249" s="64">
        <f>5.0557 * CHOOSE(CONTROL!$C$22, $C$13, 100%, $E$13)</f>
        <v>5.0556999999999999</v>
      </c>
      <c r="H249" s="64">
        <f>9.1537* CHOOSE(CONTROL!$C$22, $C$13, 100%, $E$13)</f>
        <v>9.1537000000000006</v>
      </c>
      <c r="I249" s="64">
        <f>9.1539 * CHOOSE(CONTROL!$C$22, $C$13, 100%, $E$13)</f>
        <v>9.1539000000000001</v>
      </c>
      <c r="J249" s="64">
        <f>5.0555 * CHOOSE(CONTROL!$C$22, $C$13, 100%, $E$13)</f>
        <v>5.0555000000000003</v>
      </c>
      <c r="K249" s="64">
        <f>5.0557 * CHOOSE(CONTROL!$C$22, $C$13, 100%, $E$13)</f>
        <v>5.0556999999999999</v>
      </c>
    </row>
    <row r="250" spans="1:11" ht="15">
      <c r="A250" s="13">
        <v>49249</v>
      </c>
      <c r="B250" s="63">
        <f>4.4084 * CHOOSE(CONTROL!$C$22, $C$13, 100%, $E$13)</f>
        <v>4.4084000000000003</v>
      </c>
      <c r="C250" s="63">
        <f>4.4084 * CHOOSE(CONTROL!$C$22, $C$13, 100%, $E$13)</f>
        <v>4.4084000000000003</v>
      </c>
      <c r="D250" s="63">
        <f>4.4284 * CHOOSE(CONTROL!$C$22, $C$13, 100%, $E$13)</f>
        <v>4.4283999999999999</v>
      </c>
      <c r="E250" s="64">
        <f>5.0691 * CHOOSE(CONTROL!$C$22, $C$13, 100%, $E$13)</f>
        <v>5.0690999999999997</v>
      </c>
      <c r="F250" s="64">
        <f>5.0691 * CHOOSE(CONTROL!$C$22, $C$13, 100%, $E$13)</f>
        <v>5.0690999999999997</v>
      </c>
      <c r="G250" s="64">
        <f>5.0693 * CHOOSE(CONTROL!$C$22, $C$13, 100%, $E$13)</f>
        <v>5.0693000000000001</v>
      </c>
      <c r="H250" s="64">
        <f>9.1728* CHOOSE(CONTROL!$C$22, $C$13, 100%, $E$13)</f>
        <v>9.1728000000000005</v>
      </c>
      <c r="I250" s="64">
        <f>9.173 * CHOOSE(CONTROL!$C$22, $C$13, 100%, $E$13)</f>
        <v>9.173</v>
      </c>
      <c r="J250" s="64">
        <f>5.0691 * CHOOSE(CONTROL!$C$22, $C$13, 100%, $E$13)</f>
        <v>5.0690999999999997</v>
      </c>
      <c r="K250" s="64">
        <f>5.0693 * CHOOSE(CONTROL!$C$22, $C$13, 100%, $E$13)</f>
        <v>5.0693000000000001</v>
      </c>
    </row>
    <row r="251" spans="1:11" ht="15">
      <c r="A251" s="13">
        <v>49279</v>
      </c>
      <c r="B251" s="63">
        <f>4.4084 * CHOOSE(CONTROL!$C$22, $C$13, 100%, $E$13)</f>
        <v>4.4084000000000003</v>
      </c>
      <c r="C251" s="63">
        <f>4.4084 * CHOOSE(CONTROL!$C$22, $C$13, 100%, $E$13)</f>
        <v>4.4084000000000003</v>
      </c>
      <c r="D251" s="63">
        <f>4.4284 * CHOOSE(CONTROL!$C$22, $C$13, 100%, $E$13)</f>
        <v>4.4283999999999999</v>
      </c>
      <c r="E251" s="64">
        <f>5.0404 * CHOOSE(CONTROL!$C$22, $C$13, 100%, $E$13)</f>
        <v>5.0404</v>
      </c>
      <c r="F251" s="64">
        <f>5.0404 * CHOOSE(CONTROL!$C$22, $C$13, 100%, $E$13)</f>
        <v>5.0404</v>
      </c>
      <c r="G251" s="64">
        <f>5.0405 * CHOOSE(CONTROL!$C$22, $C$13, 100%, $E$13)</f>
        <v>5.0404999999999998</v>
      </c>
      <c r="H251" s="64">
        <f>9.1919* CHOOSE(CONTROL!$C$22, $C$13, 100%, $E$13)</f>
        <v>9.1919000000000004</v>
      </c>
      <c r="I251" s="64">
        <f>9.1921 * CHOOSE(CONTROL!$C$22, $C$13, 100%, $E$13)</f>
        <v>9.1920999999999999</v>
      </c>
      <c r="J251" s="64">
        <f>5.0404 * CHOOSE(CONTROL!$C$22, $C$13, 100%, $E$13)</f>
        <v>5.0404</v>
      </c>
      <c r="K251" s="64">
        <f>5.0405 * CHOOSE(CONTROL!$C$22, $C$13, 100%, $E$13)</f>
        <v>5.0404999999999998</v>
      </c>
    </row>
    <row r="252" spans="1:11" ht="15">
      <c r="A252" s="13">
        <v>49310</v>
      </c>
      <c r="B252" s="63">
        <f>4.4493 * CHOOSE(CONTROL!$C$22, $C$13, 100%, $E$13)</f>
        <v>4.4493</v>
      </c>
      <c r="C252" s="63">
        <f>4.4493 * CHOOSE(CONTROL!$C$22, $C$13, 100%, $E$13)</f>
        <v>4.4493</v>
      </c>
      <c r="D252" s="63">
        <f>4.4693 * CHOOSE(CONTROL!$C$22, $C$13, 100%, $E$13)</f>
        <v>4.4692999999999996</v>
      </c>
      <c r="E252" s="64">
        <f>5.1042 * CHOOSE(CONTROL!$C$22, $C$13, 100%, $E$13)</f>
        <v>5.1041999999999996</v>
      </c>
      <c r="F252" s="64">
        <f>5.1042 * CHOOSE(CONTROL!$C$22, $C$13, 100%, $E$13)</f>
        <v>5.1041999999999996</v>
      </c>
      <c r="G252" s="64">
        <f>5.1043 * CHOOSE(CONTROL!$C$22, $C$13, 100%, $E$13)</f>
        <v>5.1043000000000003</v>
      </c>
      <c r="H252" s="64">
        <f>9.211* CHOOSE(CONTROL!$C$22, $C$13, 100%, $E$13)</f>
        <v>9.2110000000000003</v>
      </c>
      <c r="I252" s="64">
        <f>9.2112 * CHOOSE(CONTROL!$C$22, $C$13, 100%, $E$13)</f>
        <v>9.2111999999999998</v>
      </c>
      <c r="J252" s="64">
        <f>5.1042 * CHOOSE(CONTROL!$C$22, $C$13, 100%, $E$13)</f>
        <v>5.1041999999999996</v>
      </c>
      <c r="K252" s="64">
        <f>5.1043 * CHOOSE(CONTROL!$C$22, $C$13, 100%, $E$13)</f>
        <v>5.1043000000000003</v>
      </c>
    </row>
    <row r="253" spans="1:11" ht="15">
      <c r="A253" s="13">
        <v>49341</v>
      </c>
      <c r="B253" s="63">
        <f>4.4463 * CHOOSE(CONTROL!$C$22, $C$13, 100%, $E$13)</f>
        <v>4.4462999999999999</v>
      </c>
      <c r="C253" s="63">
        <f>4.4463 * CHOOSE(CONTROL!$C$22, $C$13, 100%, $E$13)</f>
        <v>4.4462999999999999</v>
      </c>
      <c r="D253" s="63">
        <f>4.4662 * CHOOSE(CONTROL!$C$22, $C$13, 100%, $E$13)</f>
        <v>4.4661999999999997</v>
      </c>
      <c r="E253" s="64">
        <f>5.0462 * CHOOSE(CONTROL!$C$22, $C$13, 100%, $E$13)</f>
        <v>5.0461999999999998</v>
      </c>
      <c r="F253" s="64">
        <f>5.0462 * CHOOSE(CONTROL!$C$22, $C$13, 100%, $E$13)</f>
        <v>5.0461999999999998</v>
      </c>
      <c r="G253" s="64">
        <f>5.0464 * CHOOSE(CONTROL!$C$22, $C$13, 100%, $E$13)</f>
        <v>5.0464000000000002</v>
      </c>
      <c r="H253" s="64">
        <f>9.2302* CHOOSE(CONTROL!$C$22, $C$13, 100%, $E$13)</f>
        <v>9.2302</v>
      </c>
      <c r="I253" s="64">
        <f>9.2304 * CHOOSE(CONTROL!$C$22, $C$13, 100%, $E$13)</f>
        <v>9.2303999999999995</v>
      </c>
      <c r="J253" s="64">
        <f>5.0462 * CHOOSE(CONTROL!$C$22, $C$13, 100%, $E$13)</f>
        <v>5.0461999999999998</v>
      </c>
      <c r="K253" s="64">
        <f>5.0464 * CHOOSE(CONTROL!$C$22, $C$13, 100%, $E$13)</f>
        <v>5.0464000000000002</v>
      </c>
    </row>
    <row r="254" spans="1:11" ht="15">
      <c r="A254" s="13">
        <v>49369</v>
      </c>
      <c r="B254" s="63">
        <f>4.4432 * CHOOSE(CONTROL!$C$22, $C$13, 100%, $E$13)</f>
        <v>4.4432</v>
      </c>
      <c r="C254" s="63">
        <f>4.4432 * CHOOSE(CONTROL!$C$22, $C$13, 100%, $E$13)</f>
        <v>4.4432</v>
      </c>
      <c r="D254" s="63">
        <f>4.4632 * CHOOSE(CONTROL!$C$22, $C$13, 100%, $E$13)</f>
        <v>4.4631999999999996</v>
      </c>
      <c r="E254" s="64">
        <f>5.0881 * CHOOSE(CONTROL!$C$22, $C$13, 100%, $E$13)</f>
        <v>5.0880999999999998</v>
      </c>
      <c r="F254" s="64">
        <f>5.0881 * CHOOSE(CONTROL!$C$22, $C$13, 100%, $E$13)</f>
        <v>5.0880999999999998</v>
      </c>
      <c r="G254" s="64">
        <f>5.0883 * CHOOSE(CONTROL!$C$22, $C$13, 100%, $E$13)</f>
        <v>5.0883000000000003</v>
      </c>
      <c r="H254" s="64">
        <f>9.2495* CHOOSE(CONTROL!$C$22, $C$13, 100%, $E$13)</f>
        <v>9.2494999999999994</v>
      </c>
      <c r="I254" s="64">
        <f>9.2496 * CHOOSE(CONTROL!$C$22, $C$13, 100%, $E$13)</f>
        <v>9.2495999999999992</v>
      </c>
      <c r="J254" s="64">
        <f>5.0881 * CHOOSE(CONTROL!$C$22, $C$13, 100%, $E$13)</f>
        <v>5.0880999999999998</v>
      </c>
      <c r="K254" s="64">
        <f>5.0883 * CHOOSE(CONTROL!$C$22, $C$13, 100%, $E$13)</f>
        <v>5.0883000000000003</v>
      </c>
    </row>
    <row r="255" spans="1:11" ht="15">
      <c r="A255" s="13">
        <v>49400</v>
      </c>
      <c r="B255" s="63">
        <f>4.4413 * CHOOSE(CONTROL!$C$22, $C$13, 100%, $E$13)</f>
        <v>4.4413</v>
      </c>
      <c r="C255" s="63">
        <f>4.4413 * CHOOSE(CONTROL!$C$22, $C$13, 100%, $E$13)</f>
        <v>4.4413</v>
      </c>
      <c r="D255" s="63">
        <f>4.4613 * CHOOSE(CONTROL!$C$22, $C$13, 100%, $E$13)</f>
        <v>4.4612999999999996</v>
      </c>
      <c r="E255" s="64">
        <f>5.1311 * CHOOSE(CONTROL!$C$22, $C$13, 100%, $E$13)</f>
        <v>5.1311</v>
      </c>
      <c r="F255" s="64">
        <f>5.1311 * CHOOSE(CONTROL!$C$22, $C$13, 100%, $E$13)</f>
        <v>5.1311</v>
      </c>
      <c r="G255" s="64">
        <f>5.1313 * CHOOSE(CONTROL!$C$22, $C$13, 100%, $E$13)</f>
        <v>5.1313000000000004</v>
      </c>
      <c r="H255" s="64">
        <f>9.2687* CHOOSE(CONTROL!$C$22, $C$13, 100%, $E$13)</f>
        <v>9.2687000000000008</v>
      </c>
      <c r="I255" s="64">
        <f>9.2689 * CHOOSE(CONTROL!$C$22, $C$13, 100%, $E$13)</f>
        <v>9.2689000000000004</v>
      </c>
      <c r="J255" s="64">
        <f>5.1311 * CHOOSE(CONTROL!$C$22, $C$13, 100%, $E$13)</f>
        <v>5.1311</v>
      </c>
      <c r="K255" s="64">
        <f>5.1313 * CHOOSE(CONTROL!$C$22, $C$13, 100%, $E$13)</f>
        <v>5.1313000000000004</v>
      </c>
    </row>
    <row r="256" spans="1:11" ht="15">
      <c r="A256" s="13">
        <v>49430</v>
      </c>
      <c r="B256" s="63">
        <f>4.4413 * CHOOSE(CONTROL!$C$22, $C$13, 100%, $E$13)</f>
        <v>4.4413</v>
      </c>
      <c r="C256" s="63">
        <f>4.4413 * CHOOSE(CONTROL!$C$22, $C$13, 100%, $E$13)</f>
        <v>4.4413</v>
      </c>
      <c r="D256" s="63">
        <f>4.4813 * CHOOSE(CONTROL!$C$22, $C$13, 100%, $E$13)</f>
        <v>4.4813000000000001</v>
      </c>
      <c r="E256" s="64">
        <f>5.1489 * CHOOSE(CONTROL!$C$22, $C$13, 100%, $E$13)</f>
        <v>5.1489000000000003</v>
      </c>
      <c r="F256" s="64">
        <f>5.1489 * CHOOSE(CONTROL!$C$22, $C$13, 100%, $E$13)</f>
        <v>5.1489000000000003</v>
      </c>
      <c r="G256" s="64">
        <f>5.1513 * CHOOSE(CONTROL!$C$22, $C$13, 100%, $E$13)</f>
        <v>5.1513</v>
      </c>
      <c r="H256" s="64">
        <f>9.288* CHOOSE(CONTROL!$C$22, $C$13, 100%, $E$13)</f>
        <v>9.2880000000000003</v>
      </c>
      <c r="I256" s="64">
        <f>9.2905 * CHOOSE(CONTROL!$C$22, $C$13, 100%, $E$13)</f>
        <v>9.2904999999999998</v>
      </c>
      <c r="J256" s="64">
        <f>5.1489 * CHOOSE(CONTROL!$C$22, $C$13, 100%, $E$13)</f>
        <v>5.1489000000000003</v>
      </c>
      <c r="K256" s="64">
        <f>5.1513 * CHOOSE(CONTROL!$C$22, $C$13, 100%, $E$13)</f>
        <v>5.1513</v>
      </c>
    </row>
    <row r="257" spans="1:11" ht="15">
      <c r="A257" s="13">
        <v>49461</v>
      </c>
      <c r="B257" s="63">
        <f>4.4474 * CHOOSE(CONTROL!$C$22, $C$13, 100%, $E$13)</f>
        <v>4.4474</v>
      </c>
      <c r="C257" s="63">
        <f>4.4474 * CHOOSE(CONTROL!$C$22, $C$13, 100%, $E$13)</f>
        <v>4.4474</v>
      </c>
      <c r="D257" s="63">
        <f>4.4873 * CHOOSE(CONTROL!$C$22, $C$13, 100%, $E$13)</f>
        <v>4.4873000000000003</v>
      </c>
      <c r="E257" s="64">
        <f>5.1354 * CHOOSE(CONTROL!$C$22, $C$13, 100%, $E$13)</f>
        <v>5.1353999999999997</v>
      </c>
      <c r="F257" s="64">
        <f>5.1354 * CHOOSE(CONTROL!$C$22, $C$13, 100%, $E$13)</f>
        <v>5.1353999999999997</v>
      </c>
      <c r="G257" s="64">
        <f>5.1378 * CHOOSE(CONTROL!$C$22, $C$13, 100%, $E$13)</f>
        <v>5.1378000000000004</v>
      </c>
      <c r="H257" s="64">
        <f>9.3074* CHOOSE(CONTROL!$C$22, $C$13, 100%, $E$13)</f>
        <v>9.3073999999999995</v>
      </c>
      <c r="I257" s="64">
        <f>9.3098 * CHOOSE(CONTROL!$C$22, $C$13, 100%, $E$13)</f>
        <v>9.3097999999999992</v>
      </c>
      <c r="J257" s="64">
        <f>5.1354 * CHOOSE(CONTROL!$C$22, $C$13, 100%, $E$13)</f>
        <v>5.1353999999999997</v>
      </c>
      <c r="K257" s="64">
        <f>5.1378 * CHOOSE(CONTROL!$C$22, $C$13, 100%, $E$13)</f>
        <v>5.1378000000000004</v>
      </c>
    </row>
    <row r="258" spans="1:11" ht="15">
      <c r="A258" s="13">
        <v>49491</v>
      </c>
      <c r="B258" s="63">
        <f>4.5237 * CHOOSE(CONTROL!$C$22, $C$13, 100%, $E$13)</f>
        <v>4.5236999999999998</v>
      </c>
      <c r="C258" s="63">
        <f>4.5237 * CHOOSE(CONTROL!$C$22, $C$13, 100%, $E$13)</f>
        <v>4.5236999999999998</v>
      </c>
      <c r="D258" s="63">
        <f>4.5637 * CHOOSE(CONTROL!$C$22, $C$13, 100%, $E$13)</f>
        <v>4.5636999999999999</v>
      </c>
      <c r="E258" s="64">
        <f>5.2334 * CHOOSE(CONTROL!$C$22, $C$13, 100%, $E$13)</f>
        <v>5.2333999999999996</v>
      </c>
      <c r="F258" s="64">
        <f>5.2334 * CHOOSE(CONTROL!$C$22, $C$13, 100%, $E$13)</f>
        <v>5.2333999999999996</v>
      </c>
      <c r="G258" s="64">
        <f>5.2359 * CHOOSE(CONTROL!$C$22, $C$13, 100%, $E$13)</f>
        <v>5.2359</v>
      </c>
      <c r="H258" s="64">
        <f>9.3268* CHOOSE(CONTROL!$C$22, $C$13, 100%, $E$13)</f>
        <v>9.3268000000000004</v>
      </c>
      <c r="I258" s="64">
        <f>9.3292 * CHOOSE(CONTROL!$C$22, $C$13, 100%, $E$13)</f>
        <v>9.3292000000000002</v>
      </c>
      <c r="J258" s="64">
        <f>5.2334 * CHOOSE(CONTROL!$C$22, $C$13, 100%, $E$13)</f>
        <v>5.2333999999999996</v>
      </c>
      <c r="K258" s="64">
        <f>5.2359 * CHOOSE(CONTROL!$C$22, $C$13, 100%, $E$13)</f>
        <v>5.2359</v>
      </c>
    </row>
    <row r="259" spans="1:11" ht="15">
      <c r="A259" s="13">
        <v>49522</v>
      </c>
      <c r="B259" s="63">
        <f>4.5304 * CHOOSE(CONTROL!$C$22, $C$13, 100%, $E$13)</f>
        <v>4.5304000000000002</v>
      </c>
      <c r="C259" s="63">
        <f>4.5304 * CHOOSE(CONTROL!$C$22, $C$13, 100%, $E$13)</f>
        <v>4.5304000000000002</v>
      </c>
      <c r="D259" s="63">
        <f>4.5704 * CHOOSE(CONTROL!$C$22, $C$13, 100%, $E$13)</f>
        <v>4.5704000000000002</v>
      </c>
      <c r="E259" s="64">
        <f>5.1849 * CHOOSE(CONTROL!$C$22, $C$13, 100%, $E$13)</f>
        <v>5.1848999999999998</v>
      </c>
      <c r="F259" s="64">
        <f>5.1849 * CHOOSE(CONTROL!$C$22, $C$13, 100%, $E$13)</f>
        <v>5.1848999999999998</v>
      </c>
      <c r="G259" s="64">
        <f>5.1873 * CHOOSE(CONTROL!$C$22, $C$13, 100%, $E$13)</f>
        <v>5.1872999999999996</v>
      </c>
      <c r="H259" s="64">
        <f>9.3462* CHOOSE(CONTROL!$C$22, $C$13, 100%, $E$13)</f>
        <v>9.3461999999999996</v>
      </c>
      <c r="I259" s="64">
        <f>9.3487 * CHOOSE(CONTROL!$C$22, $C$13, 100%, $E$13)</f>
        <v>9.3486999999999991</v>
      </c>
      <c r="J259" s="64">
        <f>5.1849 * CHOOSE(CONTROL!$C$22, $C$13, 100%, $E$13)</f>
        <v>5.1848999999999998</v>
      </c>
      <c r="K259" s="64">
        <f>5.1873 * CHOOSE(CONTROL!$C$22, $C$13, 100%, $E$13)</f>
        <v>5.1872999999999996</v>
      </c>
    </row>
    <row r="260" spans="1:11" ht="15">
      <c r="A260" s="13">
        <v>49553</v>
      </c>
      <c r="B260" s="63">
        <f>4.5274 * CHOOSE(CONTROL!$C$22, $C$13, 100%, $E$13)</f>
        <v>4.5274000000000001</v>
      </c>
      <c r="C260" s="63">
        <f>4.5274 * CHOOSE(CONTROL!$C$22, $C$13, 100%, $E$13)</f>
        <v>4.5274000000000001</v>
      </c>
      <c r="D260" s="63">
        <f>4.5673 * CHOOSE(CONTROL!$C$22, $C$13, 100%, $E$13)</f>
        <v>4.5673000000000004</v>
      </c>
      <c r="E260" s="64">
        <f>5.1768 * CHOOSE(CONTROL!$C$22, $C$13, 100%, $E$13)</f>
        <v>5.1768000000000001</v>
      </c>
      <c r="F260" s="64">
        <f>5.1768 * CHOOSE(CONTROL!$C$22, $C$13, 100%, $E$13)</f>
        <v>5.1768000000000001</v>
      </c>
      <c r="G260" s="64">
        <f>5.1793 * CHOOSE(CONTROL!$C$22, $C$13, 100%, $E$13)</f>
        <v>5.1792999999999996</v>
      </c>
      <c r="H260" s="64">
        <f>9.3657* CHOOSE(CONTROL!$C$22, $C$13, 100%, $E$13)</f>
        <v>9.3657000000000004</v>
      </c>
      <c r="I260" s="64">
        <f>9.3681 * CHOOSE(CONTROL!$C$22, $C$13, 100%, $E$13)</f>
        <v>9.3681000000000001</v>
      </c>
      <c r="J260" s="64">
        <f>5.1768 * CHOOSE(CONTROL!$C$22, $C$13, 100%, $E$13)</f>
        <v>5.1768000000000001</v>
      </c>
      <c r="K260" s="64">
        <f>5.1793 * CHOOSE(CONTROL!$C$22, $C$13, 100%, $E$13)</f>
        <v>5.1792999999999996</v>
      </c>
    </row>
    <row r="261" spans="1:11" ht="15">
      <c r="A261" s="13">
        <v>49583</v>
      </c>
      <c r="B261" s="63">
        <f>4.5244 * CHOOSE(CONTROL!$C$22, $C$13, 100%, $E$13)</f>
        <v>4.5244</v>
      </c>
      <c r="C261" s="63">
        <f>4.5244 * CHOOSE(CONTROL!$C$22, $C$13, 100%, $E$13)</f>
        <v>4.5244</v>
      </c>
      <c r="D261" s="63">
        <f>4.5444 * CHOOSE(CONTROL!$C$22, $C$13, 100%, $E$13)</f>
        <v>4.5444000000000004</v>
      </c>
      <c r="E261" s="64">
        <f>5.1871 * CHOOSE(CONTROL!$C$22, $C$13, 100%, $E$13)</f>
        <v>5.1871</v>
      </c>
      <c r="F261" s="64">
        <f>5.1871 * CHOOSE(CONTROL!$C$22, $C$13, 100%, $E$13)</f>
        <v>5.1871</v>
      </c>
      <c r="G261" s="64">
        <f>5.1872 * CHOOSE(CONTROL!$C$22, $C$13, 100%, $E$13)</f>
        <v>5.1871999999999998</v>
      </c>
      <c r="H261" s="64">
        <f>9.3852* CHOOSE(CONTROL!$C$22, $C$13, 100%, $E$13)</f>
        <v>9.3851999999999993</v>
      </c>
      <c r="I261" s="64">
        <f>9.3854 * CHOOSE(CONTROL!$C$22, $C$13, 100%, $E$13)</f>
        <v>9.3854000000000006</v>
      </c>
      <c r="J261" s="64">
        <f>5.1871 * CHOOSE(CONTROL!$C$22, $C$13, 100%, $E$13)</f>
        <v>5.1871</v>
      </c>
      <c r="K261" s="64">
        <f>5.1872 * CHOOSE(CONTROL!$C$22, $C$13, 100%, $E$13)</f>
        <v>5.1871999999999998</v>
      </c>
    </row>
    <row r="262" spans="1:11" ht="15">
      <c r="A262" s="13">
        <v>49614</v>
      </c>
      <c r="B262" s="63">
        <f>4.5275 * CHOOSE(CONTROL!$C$22, $C$13, 100%, $E$13)</f>
        <v>4.5274999999999999</v>
      </c>
      <c r="C262" s="63">
        <f>4.5275 * CHOOSE(CONTROL!$C$22, $C$13, 100%, $E$13)</f>
        <v>4.5274999999999999</v>
      </c>
      <c r="D262" s="63">
        <f>4.5474 * CHOOSE(CONTROL!$C$22, $C$13, 100%, $E$13)</f>
        <v>4.5473999999999997</v>
      </c>
      <c r="E262" s="64">
        <f>5.201 * CHOOSE(CONTROL!$C$22, $C$13, 100%, $E$13)</f>
        <v>5.2009999999999996</v>
      </c>
      <c r="F262" s="64">
        <f>5.201 * CHOOSE(CONTROL!$C$22, $C$13, 100%, $E$13)</f>
        <v>5.2009999999999996</v>
      </c>
      <c r="G262" s="64">
        <f>5.2012 * CHOOSE(CONTROL!$C$22, $C$13, 100%, $E$13)</f>
        <v>5.2012</v>
      </c>
      <c r="H262" s="64">
        <f>9.4047* CHOOSE(CONTROL!$C$22, $C$13, 100%, $E$13)</f>
        <v>9.4047000000000001</v>
      </c>
      <c r="I262" s="64">
        <f>9.4049 * CHOOSE(CONTROL!$C$22, $C$13, 100%, $E$13)</f>
        <v>9.4048999999999996</v>
      </c>
      <c r="J262" s="64">
        <f>5.201 * CHOOSE(CONTROL!$C$22, $C$13, 100%, $E$13)</f>
        <v>5.2009999999999996</v>
      </c>
      <c r="K262" s="64">
        <f>5.2012 * CHOOSE(CONTROL!$C$22, $C$13, 100%, $E$13)</f>
        <v>5.2012</v>
      </c>
    </row>
    <row r="263" spans="1:11" ht="15">
      <c r="A263" s="13">
        <v>49644</v>
      </c>
      <c r="B263" s="63">
        <f>4.5275 * CHOOSE(CONTROL!$C$22, $C$13, 100%, $E$13)</f>
        <v>4.5274999999999999</v>
      </c>
      <c r="C263" s="63">
        <f>4.5275 * CHOOSE(CONTROL!$C$22, $C$13, 100%, $E$13)</f>
        <v>4.5274999999999999</v>
      </c>
      <c r="D263" s="63">
        <f>4.5474 * CHOOSE(CONTROL!$C$22, $C$13, 100%, $E$13)</f>
        <v>4.5473999999999997</v>
      </c>
      <c r="E263" s="64">
        <f>5.1715 * CHOOSE(CONTROL!$C$22, $C$13, 100%, $E$13)</f>
        <v>5.1715</v>
      </c>
      <c r="F263" s="64">
        <f>5.1715 * CHOOSE(CONTROL!$C$22, $C$13, 100%, $E$13)</f>
        <v>5.1715</v>
      </c>
      <c r="G263" s="64">
        <f>5.1716 * CHOOSE(CONTROL!$C$22, $C$13, 100%, $E$13)</f>
        <v>5.1715999999999998</v>
      </c>
      <c r="H263" s="64">
        <f>9.4243* CHOOSE(CONTROL!$C$22, $C$13, 100%, $E$13)</f>
        <v>9.4243000000000006</v>
      </c>
      <c r="I263" s="64">
        <f>9.4245 * CHOOSE(CONTROL!$C$22, $C$13, 100%, $E$13)</f>
        <v>9.4245000000000001</v>
      </c>
      <c r="J263" s="64">
        <f>5.1715 * CHOOSE(CONTROL!$C$22, $C$13, 100%, $E$13)</f>
        <v>5.1715</v>
      </c>
      <c r="K263" s="64">
        <f>5.1716 * CHOOSE(CONTROL!$C$22, $C$13, 100%, $E$13)</f>
        <v>5.1715999999999998</v>
      </c>
    </row>
    <row r="264" spans="1:11" ht="15">
      <c r="A264" s="13">
        <v>49675</v>
      </c>
      <c r="B264" s="63">
        <f>4.5704 * CHOOSE(CONTROL!$C$22, $C$13, 100%, $E$13)</f>
        <v>4.5704000000000002</v>
      </c>
      <c r="C264" s="63">
        <f>4.5704 * CHOOSE(CONTROL!$C$22, $C$13, 100%, $E$13)</f>
        <v>4.5704000000000002</v>
      </c>
      <c r="D264" s="63">
        <f>4.5903 * CHOOSE(CONTROL!$C$22, $C$13, 100%, $E$13)</f>
        <v>4.5903</v>
      </c>
      <c r="E264" s="64">
        <f>5.2414 * CHOOSE(CONTROL!$C$22, $C$13, 100%, $E$13)</f>
        <v>5.2413999999999996</v>
      </c>
      <c r="F264" s="64">
        <f>5.2414 * CHOOSE(CONTROL!$C$22, $C$13, 100%, $E$13)</f>
        <v>5.2413999999999996</v>
      </c>
      <c r="G264" s="64">
        <f>5.2415 * CHOOSE(CONTROL!$C$22, $C$13, 100%, $E$13)</f>
        <v>5.2415000000000003</v>
      </c>
      <c r="H264" s="64">
        <f>9.444* CHOOSE(CONTROL!$C$22, $C$13, 100%, $E$13)</f>
        <v>9.4440000000000008</v>
      </c>
      <c r="I264" s="64">
        <f>9.4442 * CHOOSE(CONTROL!$C$22, $C$13, 100%, $E$13)</f>
        <v>9.4442000000000004</v>
      </c>
      <c r="J264" s="64">
        <f>5.2414 * CHOOSE(CONTROL!$C$22, $C$13, 100%, $E$13)</f>
        <v>5.2413999999999996</v>
      </c>
      <c r="K264" s="64">
        <f>5.2415 * CHOOSE(CONTROL!$C$22, $C$13, 100%, $E$13)</f>
        <v>5.2415000000000003</v>
      </c>
    </row>
    <row r="265" spans="1:11" ht="15">
      <c r="A265" s="13">
        <v>49706</v>
      </c>
      <c r="B265" s="63">
        <f>4.5673 * CHOOSE(CONTROL!$C$22, $C$13, 100%, $E$13)</f>
        <v>4.5673000000000004</v>
      </c>
      <c r="C265" s="63">
        <f>4.5673 * CHOOSE(CONTROL!$C$22, $C$13, 100%, $E$13)</f>
        <v>4.5673000000000004</v>
      </c>
      <c r="D265" s="63">
        <f>4.5873 * CHOOSE(CONTROL!$C$22, $C$13, 100%, $E$13)</f>
        <v>4.5872999999999999</v>
      </c>
      <c r="E265" s="64">
        <f>5.1819 * CHOOSE(CONTROL!$C$22, $C$13, 100%, $E$13)</f>
        <v>5.1818999999999997</v>
      </c>
      <c r="F265" s="64">
        <f>5.1819 * CHOOSE(CONTROL!$C$22, $C$13, 100%, $E$13)</f>
        <v>5.1818999999999997</v>
      </c>
      <c r="G265" s="64">
        <f>5.182 * CHOOSE(CONTROL!$C$22, $C$13, 100%, $E$13)</f>
        <v>5.1820000000000004</v>
      </c>
      <c r="H265" s="64">
        <f>9.4636* CHOOSE(CONTROL!$C$22, $C$13, 100%, $E$13)</f>
        <v>9.4635999999999996</v>
      </c>
      <c r="I265" s="64">
        <f>9.4638 * CHOOSE(CONTROL!$C$22, $C$13, 100%, $E$13)</f>
        <v>9.4638000000000009</v>
      </c>
      <c r="J265" s="64">
        <f>5.1819 * CHOOSE(CONTROL!$C$22, $C$13, 100%, $E$13)</f>
        <v>5.1818999999999997</v>
      </c>
      <c r="K265" s="64">
        <f>5.182 * CHOOSE(CONTROL!$C$22, $C$13, 100%, $E$13)</f>
        <v>5.1820000000000004</v>
      </c>
    </row>
    <row r="266" spans="1:11" ht="15">
      <c r="A266" s="13">
        <v>49735</v>
      </c>
      <c r="B266" s="63">
        <f>4.5643 * CHOOSE(CONTROL!$C$22, $C$13, 100%, $E$13)</f>
        <v>4.5643000000000002</v>
      </c>
      <c r="C266" s="63">
        <f>4.5643 * CHOOSE(CONTROL!$C$22, $C$13, 100%, $E$13)</f>
        <v>4.5643000000000002</v>
      </c>
      <c r="D266" s="63">
        <f>4.5843 * CHOOSE(CONTROL!$C$22, $C$13, 100%, $E$13)</f>
        <v>4.5842999999999998</v>
      </c>
      <c r="E266" s="64">
        <f>5.225 * CHOOSE(CONTROL!$C$22, $C$13, 100%, $E$13)</f>
        <v>5.2249999999999996</v>
      </c>
      <c r="F266" s="64">
        <f>5.225 * CHOOSE(CONTROL!$C$22, $C$13, 100%, $E$13)</f>
        <v>5.2249999999999996</v>
      </c>
      <c r="G266" s="64">
        <f>5.2251 * CHOOSE(CONTROL!$C$22, $C$13, 100%, $E$13)</f>
        <v>5.2251000000000003</v>
      </c>
      <c r="H266" s="64">
        <f>9.4834* CHOOSE(CONTROL!$C$22, $C$13, 100%, $E$13)</f>
        <v>9.4833999999999996</v>
      </c>
      <c r="I266" s="64">
        <f>9.4835 * CHOOSE(CONTROL!$C$22, $C$13, 100%, $E$13)</f>
        <v>9.4834999999999994</v>
      </c>
      <c r="J266" s="64">
        <f>5.225 * CHOOSE(CONTROL!$C$22, $C$13, 100%, $E$13)</f>
        <v>5.2249999999999996</v>
      </c>
      <c r="K266" s="64">
        <f>5.2251 * CHOOSE(CONTROL!$C$22, $C$13, 100%, $E$13)</f>
        <v>5.2251000000000003</v>
      </c>
    </row>
    <row r="267" spans="1:11" ht="15">
      <c r="A267" s="13">
        <v>49766</v>
      </c>
      <c r="B267" s="63">
        <f>4.5625 * CHOOSE(CONTROL!$C$22, $C$13, 100%, $E$13)</f>
        <v>4.5625</v>
      </c>
      <c r="C267" s="63">
        <f>4.5625 * CHOOSE(CONTROL!$C$22, $C$13, 100%, $E$13)</f>
        <v>4.5625</v>
      </c>
      <c r="D267" s="63">
        <f>4.5825 * CHOOSE(CONTROL!$C$22, $C$13, 100%, $E$13)</f>
        <v>4.5824999999999996</v>
      </c>
      <c r="E267" s="64">
        <f>5.2693 * CHOOSE(CONTROL!$C$22, $C$13, 100%, $E$13)</f>
        <v>5.2693000000000003</v>
      </c>
      <c r="F267" s="64">
        <f>5.2693 * CHOOSE(CONTROL!$C$22, $C$13, 100%, $E$13)</f>
        <v>5.2693000000000003</v>
      </c>
      <c r="G267" s="64">
        <f>5.2695 * CHOOSE(CONTROL!$C$22, $C$13, 100%, $E$13)</f>
        <v>5.2694999999999999</v>
      </c>
      <c r="H267" s="64">
        <f>9.5031* CHOOSE(CONTROL!$C$22, $C$13, 100%, $E$13)</f>
        <v>9.5030999999999999</v>
      </c>
      <c r="I267" s="64">
        <f>9.5033 * CHOOSE(CONTROL!$C$22, $C$13, 100%, $E$13)</f>
        <v>9.5032999999999994</v>
      </c>
      <c r="J267" s="64">
        <f>5.2693 * CHOOSE(CONTROL!$C$22, $C$13, 100%, $E$13)</f>
        <v>5.2693000000000003</v>
      </c>
      <c r="K267" s="64">
        <f>5.2695 * CHOOSE(CONTROL!$C$22, $C$13, 100%, $E$13)</f>
        <v>5.2694999999999999</v>
      </c>
    </row>
    <row r="268" spans="1:11" ht="15">
      <c r="A268" s="13">
        <v>49796</v>
      </c>
      <c r="B268" s="63">
        <f>4.5625 * CHOOSE(CONTROL!$C$22, $C$13, 100%, $E$13)</f>
        <v>4.5625</v>
      </c>
      <c r="C268" s="63">
        <f>4.5625 * CHOOSE(CONTROL!$C$22, $C$13, 100%, $E$13)</f>
        <v>4.5625</v>
      </c>
      <c r="D268" s="63">
        <f>4.6024 * CHOOSE(CONTROL!$C$22, $C$13, 100%, $E$13)</f>
        <v>4.6024000000000003</v>
      </c>
      <c r="E268" s="64">
        <f>5.2875 * CHOOSE(CONTROL!$C$22, $C$13, 100%, $E$13)</f>
        <v>5.2874999999999996</v>
      </c>
      <c r="F268" s="64">
        <f>5.2875 * CHOOSE(CONTROL!$C$22, $C$13, 100%, $E$13)</f>
        <v>5.2874999999999996</v>
      </c>
      <c r="G268" s="64">
        <f>5.29 * CHOOSE(CONTROL!$C$22, $C$13, 100%, $E$13)</f>
        <v>5.29</v>
      </c>
      <c r="H268" s="64">
        <f>9.5229* CHOOSE(CONTROL!$C$22, $C$13, 100%, $E$13)</f>
        <v>9.5228999999999999</v>
      </c>
      <c r="I268" s="64">
        <f>9.5254 * CHOOSE(CONTROL!$C$22, $C$13, 100%, $E$13)</f>
        <v>9.5253999999999994</v>
      </c>
      <c r="J268" s="64">
        <f>5.2875 * CHOOSE(CONTROL!$C$22, $C$13, 100%, $E$13)</f>
        <v>5.2874999999999996</v>
      </c>
      <c r="K268" s="64">
        <f>5.29 * CHOOSE(CONTROL!$C$22, $C$13, 100%, $E$13)</f>
        <v>5.29</v>
      </c>
    </row>
    <row r="269" spans="1:11" ht="15">
      <c r="A269" s="13">
        <v>49827</v>
      </c>
      <c r="B269" s="63">
        <f>4.5686 * CHOOSE(CONTROL!$C$22, $C$13, 100%, $E$13)</f>
        <v>4.5686</v>
      </c>
      <c r="C269" s="63">
        <f>4.5686 * CHOOSE(CONTROL!$C$22, $C$13, 100%, $E$13)</f>
        <v>4.5686</v>
      </c>
      <c r="D269" s="63">
        <f>4.6085 * CHOOSE(CONTROL!$C$22, $C$13, 100%, $E$13)</f>
        <v>4.6085000000000003</v>
      </c>
      <c r="E269" s="64">
        <f>5.2735 * CHOOSE(CONTROL!$C$22, $C$13, 100%, $E$13)</f>
        <v>5.2735000000000003</v>
      </c>
      <c r="F269" s="64">
        <f>5.2735 * CHOOSE(CONTROL!$C$22, $C$13, 100%, $E$13)</f>
        <v>5.2735000000000003</v>
      </c>
      <c r="G269" s="64">
        <f>5.276 * CHOOSE(CONTROL!$C$22, $C$13, 100%, $E$13)</f>
        <v>5.2759999999999998</v>
      </c>
      <c r="H269" s="64">
        <f>9.5428* CHOOSE(CONTROL!$C$22, $C$13, 100%, $E$13)</f>
        <v>9.5427999999999997</v>
      </c>
      <c r="I269" s="64">
        <f>9.5452 * CHOOSE(CONTROL!$C$22, $C$13, 100%, $E$13)</f>
        <v>9.5451999999999995</v>
      </c>
      <c r="J269" s="64">
        <f>5.2735 * CHOOSE(CONTROL!$C$22, $C$13, 100%, $E$13)</f>
        <v>5.2735000000000003</v>
      </c>
      <c r="K269" s="64">
        <f>5.276 * CHOOSE(CONTROL!$C$22, $C$13, 100%, $E$13)</f>
        <v>5.2759999999999998</v>
      </c>
    </row>
    <row r="270" spans="1:11" ht="15">
      <c r="A270" s="13">
        <v>49857</v>
      </c>
      <c r="B270" s="63">
        <f>4.6492 * CHOOSE(CONTROL!$C$22, $C$13, 100%, $E$13)</f>
        <v>4.6492000000000004</v>
      </c>
      <c r="C270" s="63">
        <f>4.6492 * CHOOSE(CONTROL!$C$22, $C$13, 100%, $E$13)</f>
        <v>4.6492000000000004</v>
      </c>
      <c r="D270" s="63">
        <f>4.6891 * CHOOSE(CONTROL!$C$22, $C$13, 100%, $E$13)</f>
        <v>4.6890999999999998</v>
      </c>
      <c r="E270" s="64">
        <f>5.3842 * CHOOSE(CONTROL!$C$22, $C$13, 100%, $E$13)</f>
        <v>5.3841999999999999</v>
      </c>
      <c r="F270" s="64">
        <f>5.3842 * CHOOSE(CONTROL!$C$22, $C$13, 100%, $E$13)</f>
        <v>5.3841999999999999</v>
      </c>
      <c r="G270" s="64">
        <f>5.3867 * CHOOSE(CONTROL!$C$22, $C$13, 100%, $E$13)</f>
        <v>5.3867000000000003</v>
      </c>
      <c r="H270" s="64">
        <f>9.5626* CHOOSE(CONTROL!$C$22, $C$13, 100%, $E$13)</f>
        <v>9.5625999999999998</v>
      </c>
      <c r="I270" s="64">
        <f>9.5651 * CHOOSE(CONTROL!$C$22, $C$13, 100%, $E$13)</f>
        <v>9.5650999999999993</v>
      </c>
      <c r="J270" s="64">
        <f>5.3842 * CHOOSE(CONTROL!$C$22, $C$13, 100%, $E$13)</f>
        <v>5.3841999999999999</v>
      </c>
      <c r="K270" s="64">
        <f>5.3867 * CHOOSE(CONTROL!$C$22, $C$13, 100%, $E$13)</f>
        <v>5.3867000000000003</v>
      </c>
    </row>
    <row r="271" spans="1:11" ht="15">
      <c r="A271" s="13">
        <v>49888</v>
      </c>
      <c r="B271" s="63">
        <f>4.6559 * CHOOSE(CONTROL!$C$22, $C$13, 100%, $E$13)</f>
        <v>4.6558999999999999</v>
      </c>
      <c r="C271" s="63">
        <f>4.6559 * CHOOSE(CONTROL!$C$22, $C$13, 100%, $E$13)</f>
        <v>4.6558999999999999</v>
      </c>
      <c r="D271" s="63">
        <f>4.6958 * CHOOSE(CONTROL!$C$22, $C$13, 100%, $E$13)</f>
        <v>4.6958000000000002</v>
      </c>
      <c r="E271" s="64">
        <f>5.3342 * CHOOSE(CONTROL!$C$22, $C$13, 100%, $E$13)</f>
        <v>5.3342000000000001</v>
      </c>
      <c r="F271" s="64">
        <f>5.3342 * CHOOSE(CONTROL!$C$22, $C$13, 100%, $E$13)</f>
        <v>5.3342000000000001</v>
      </c>
      <c r="G271" s="64">
        <f>5.3367 * CHOOSE(CONTROL!$C$22, $C$13, 100%, $E$13)</f>
        <v>5.3367000000000004</v>
      </c>
      <c r="H271" s="64">
        <f>9.5826* CHOOSE(CONTROL!$C$22, $C$13, 100%, $E$13)</f>
        <v>9.5825999999999993</v>
      </c>
      <c r="I271" s="64">
        <f>9.585 * CHOOSE(CONTROL!$C$22, $C$13, 100%, $E$13)</f>
        <v>9.5850000000000009</v>
      </c>
      <c r="J271" s="64">
        <f>5.3342 * CHOOSE(CONTROL!$C$22, $C$13, 100%, $E$13)</f>
        <v>5.3342000000000001</v>
      </c>
      <c r="K271" s="64">
        <f>5.3367 * CHOOSE(CONTROL!$C$22, $C$13, 100%, $E$13)</f>
        <v>5.3367000000000004</v>
      </c>
    </row>
    <row r="272" spans="1:11" ht="15">
      <c r="A272" s="13">
        <v>49919</v>
      </c>
      <c r="B272" s="63">
        <f>4.6528 * CHOOSE(CONTROL!$C$22, $C$13, 100%, $E$13)</f>
        <v>4.6528</v>
      </c>
      <c r="C272" s="63">
        <f>4.6528 * CHOOSE(CONTROL!$C$22, $C$13, 100%, $E$13)</f>
        <v>4.6528</v>
      </c>
      <c r="D272" s="63">
        <f>4.6928 * CHOOSE(CONTROL!$C$22, $C$13, 100%, $E$13)</f>
        <v>4.6928000000000001</v>
      </c>
      <c r="E272" s="64">
        <f>5.326 * CHOOSE(CONTROL!$C$22, $C$13, 100%, $E$13)</f>
        <v>5.3259999999999996</v>
      </c>
      <c r="F272" s="64">
        <f>5.326 * CHOOSE(CONTROL!$C$22, $C$13, 100%, $E$13)</f>
        <v>5.3259999999999996</v>
      </c>
      <c r="G272" s="64">
        <f>5.3285 * CHOOSE(CONTROL!$C$22, $C$13, 100%, $E$13)</f>
        <v>5.3285</v>
      </c>
      <c r="H272" s="64">
        <f>9.6025* CHOOSE(CONTROL!$C$22, $C$13, 100%, $E$13)</f>
        <v>9.6024999999999991</v>
      </c>
      <c r="I272" s="64">
        <f>9.605 * CHOOSE(CONTROL!$C$22, $C$13, 100%, $E$13)</f>
        <v>9.6050000000000004</v>
      </c>
      <c r="J272" s="64">
        <f>5.326 * CHOOSE(CONTROL!$C$22, $C$13, 100%, $E$13)</f>
        <v>5.3259999999999996</v>
      </c>
      <c r="K272" s="64">
        <f>5.3285 * CHOOSE(CONTROL!$C$22, $C$13, 100%, $E$13)</f>
        <v>5.3285</v>
      </c>
    </row>
    <row r="273" spans="1:11" ht="15">
      <c r="A273" s="13">
        <v>49949</v>
      </c>
      <c r="B273" s="63">
        <f>4.6503 * CHOOSE(CONTROL!$C$22, $C$13, 100%, $E$13)</f>
        <v>4.6502999999999997</v>
      </c>
      <c r="C273" s="63">
        <f>4.6503 * CHOOSE(CONTROL!$C$22, $C$13, 100%, $E$13)</f>
        <v>4.6502999999999997</v>
      </c>
      <c r="D273" s="63">
        <f>4.6703 * CHOOSE(CONTROL!$C$22, $C$13, 100%, $E$13)</f>
        <v>4.6703000000000001</v>
      </c>
      <c r="E273" s="64">
        <f>5.3369 * CHOOSE(CONTROL!$C$22, $C$13, 100%, $E$13)</f>
        <v>5.3369</v>
      </c>
      <c r="F273" s="64">
        <f>5.3369 * CHOOSE(CONTROL!$C$22, $C$13, 100%, $E$13)</f>
        <v>5.3369</v>
      </c>
      <c r="G273" s="64">
        <f>5.3371 * CHOOSE(CONTROL!$C$22, $C$13, 100%, $E$13)</f>
        <v>5.3371000000000004</v>
      </c>
      <c r="H273" s="64">
        <f>9.6225* CHOOSE(CONTROL!$C$22, $C$13, 100%, $E$13)</f>
        <v>9.6225000000000005</v>
      </c>
      <c r="I273" s="64">
        <f>9.6227 * CHOOSE(CONTROL!$C$22, $C$13, 100%, $E$13)</f>
        <v>9.6227</v>
      </c>
      <c r="J273" s="64">
        <f>5.3369 * CHOOSE(CONTROL!$C$22, $C$13, 100%, $E$13)</f>
        <v>5.3369</v>
      </c>
      <c r="K273" s="64">
        <f>5.3371 * CHOOSE(CONTROL!$C$22, $C$13, 100%, $E$13)</f>
        <v>5.3371000000000004</v>
      </c>
    </row>
    <row r="274" spans="1:11" ht="15">
      <c r="A274" s="13">
        <v>49980</v>
      </c>
      <c r="B274" s="63">
        <f>4.6533 * CHOOSE(CONTROL!$C$22, $C$13, 100%, $E$13)</f>
        <v>4.6532999999999998</v>
      </c>
      <c r="C274" s="63">
        <f>4.6533 * CHOOSE(CONTROL!$C$22, $C$13, 100%, $E$13)</f>
        <v>4.6532999999999998</v>
      </c>
      <c r="D274" s="63">
        <f>4.6733 * CHOOSE(CONTROL!$C$22, $C$13, 100%, $E$13)</f>
        <v>4.6733000000000002</v>
      </c>
      <c r="E274" s="64">
        <f>5.3512 * CHOOSE(CONTROL!$C$22, $C$13, 100%, $E$13)</f>
        <v>5.3512000000000004</v>
      </c>
      <c r="F274" s="64">
        <f>5.3512 * CHOOSE(CONTROL!$C$22, $C$13, 100%, $E$13)</f>
        <v>5.3512000000000004</v>
      </c>
      <c r="G274" s="64">
        <f>5.3513 * CHOOSE(CONTROL!$C$22, $C$13, 100%, $E$13)</f>
        <v>5.3513000000000002</v>
      </c>
      <c r="H274" s="64">
        <f>9.6426* CHOOSE(CONTROL!$C$22, $C$13, 100%, $E$13)</f>
        <v>9.6425999999999998</v>
      </c>
      <c r="I274" s="64">
        <f>9.6428 * CHOOSE(CONTROL!$C$22, $C$13, 100%, $E$13)</f>
        <v>9.6427999999999994</v>
      </c>
      <c r="J274" s="64">
        <f>5.3512 * CHOOSE(CONTROL!$C$22, $C$13, 100%, $E$13)</f>
        <v>5.3512000000000004</v>
      </c>
      <c r="K274" s="64">
        <f>5.3513 * CHOOSE(CONTROL!$C$22, $C$13, 100%, $E$13)</f>
        <v>5.3513000000000002</v>
      </c>
    </row>
    <row r="275" spans="1:11" ht="15">
      <c r="A275" s="13">
        <v>50010</v>
      </c>
      <c r="B275" s="63">
        <f>4.6533 * CHOOSE(CONTROL!$C$22, $C$13, 100%, $E$13)</f>
        <v>4.6532999999999998</v>
      </c>
      <c r="C275" s="63">
        <f>4.6533 * CHOOSE(CONTROL!$C$22, $C$13, 100%, $E$13)</f>
        <v>4.6532999999999998</v>
      </c>
      <c r="D275" s="63">
        <f>4.6733 * CHOOSE(CONTROL!$C$22, $C$13, 100%, $E$13)</f>
        <v>4.6733000000000002</v>
      </c>
      <c r="E275" s="64">
        <f>5.3208 * CHOOSE(CONTROL!$C$22, $C$13, 100%, $E$13)</f>
        <v>5.3208000000000002</v>
      </c>
      <c r="F275" s="64">
        <f>5.3208 * CHOOSE(CONTROL!$C$22, $C$13, 100%, $E$13)</f>
        <v>5.3208000000000002</v>
      </c>
      <c r="G275" s="64">
        <f>5.321 * CHOOSE(CONTROL!$C$22, $C$13, 100%, $E$13)</f>
        <v>5.3209999999999997</v>
      </c>
      <c r="H275" s="64">
        <f>9.6627* CHOOSE(CONTROL!$C$22, $C$13, 100%, $E$13)</f>
        <v>9.6626999999999992</v>
      </c>
      <c r="I275" s="64">
        <f>9.6628 * CHOOSE(CONTROL!$C$22, $C$13, 100%, $E$13)</f>
        <v>9.6628000000000007</v>
      </c>
      <c r="J275" s="64">
        <f>5.3208 * CHOOSE(CONTROL!$C$22, $C$13, 100%, $E$13)</f>
        <v>5.3208000000000002</v>
      </c>
      <c r="K275" s="64">
        <f>5.321 * CHOOSE(CONTROL!$C$22, $C$13, 100%, $E$13)</f>
        <v>5.3209999999999997</v>
      </c>
    </row>
    <row r="276" spans="1:11" ht="15">
      <c r="A276" s="13">
        <v>50041</v>
      </c>
      <c r="B276" s="63">
        <f>4.6966 * CHOOSE(CONTROL!$C$22, $C$13, 100%, $E$13)</f>
        <v>4.6966000000000001</v>
      </c>
      <c r="C276" s="63">
        <f>4.6966 * CHOOSE(CONTROL!$C$22, $C$13, 100%, $E$13)</f>
        <v>4.6966000000000001</v>
      </c>
      <c r="D276" s="63">
        <f>4.7166 * CHOOSE(CONTROL!$C$22, $C$13, 100%, $E$13)</f>
        <v>4.7165999999999997</v>
      </c>
      <c r="E276" s="64">
        <f>5.3901 * CHOOSE(CONTROL!$C$22, $C$13, 100%, $E$13)</f>
        <v>5.3901000000000003</v>
      </c>
      <c r="F276" s="64">
        <f>5.3901 * CHOOSE(CONTROL!$C$22, $C$13, 100%, $E$13)</f>
        <v>5.3901000000000003</v>
      </c>
      <c r="G276" s="64">
        <f>5.3903 * CHOOSE(CONTROL!$C$22, $C$13, 100%, $E$13)</f>
        <v>5.3902999999999999</v>
      </c>
      <c r="H276" s="64">
        <f>9.6828* CHOOSE(CONTROL!$C$22, $C$13, 100%, $E$13)</f>
        <v>9.6828000000000003</v>
      </c>
      <c r="I276" s="64">
        <f>9.683 * CHOOSE(CONTROL!$C$22, $C$13, 100%, $E$13)</f>
        <v>9.6829999999999998</v>
      </c>
      <c r="J276" s="64">
        <f>5.3901 * CHOOSE(CONTROL!$C$22, $C$13, 100%, $E$13)</f>
        <v>5.3901000000000003</v>
      </c>
      <c r="K276" s="64">
        <f>5.3903 * CHOOSE(CONTROL!$C$22, $C$13, 100%, $E$13)</f>
        <v>5.3902999999999999</v>
      </c>
    </row>
    <row r="277" spans="1:11" ht="15">
      <c r="A277" s="13">
        <v>50072</v>
      </c>
      <c r="B277" s="63">
        <f>4.6936 * CHOOSE(CONTROL!$C$22, $C$13, 100%, $E$13)</f>
        <v>4.6936</v>
      </c>
      <c r="C277" s="63">
        <f>4.6936 * CHOOSE(CONTROL!$C$22, $C$13, 100%, $E$13)</f>
        <v>4.6936</v>
      </c>
      <c r="D277" s="63">
        <f>4.7135 * CHOOSE(CONTROL!$C$22, $C$13, 100%, $E$13)</f>
        <v>4.7134999999999998</v>
      </c>
      <c r="E277" s="64">
        <f>5.3291 * CHOOSE(CONTROL!$C$22, $C$13, 100%, $E$13)</f>
        <v>5.3291000000000004</v>
      </c>
      <c r="F277" s="64">
        <f>5.3291 * CHOOSE(CONTROL!$C$22, $C$13, 100%, $E$13)</f>
        <v>5.3291000000000004</v>
      </c>
      <c r="G277" s="64">
        <f>5.3293 * CHOOSE(CONTROL!$C$22, $C$13, 100%, $E$13)</f>
        <v>5.3292999999999999</v>
      </c>
      <c r="H277" s="64">
        <f>9.703* CHOOSE(CONTROL!$C$22, $C$13, 100%, $E$13)</f>
        <v>9.7029999999999994</v>
      </c>
      <c r="I277" s="64">
        <f>9.7031 * CHOOSE(CONTROL!$C$22, $C$13, 100%, $E$13)</f>
        <v>9.7030999999999992</v>
      </c>
      <c r="J277" s="64">
        <f>5.3291 * CHOOSE(CONTROL!$C$22, $C$13, 100%, $E$13)</f>
        <v>5.3291000000000004</v>
      </c>
      <c r="K277" s="64">
        <f>5.3293 * CHOOSE(CONTROL!$C$22, $C$13, 100%, $E$13)</f>
        <v>5.3292999999999999</v>
      </c>
    </row>
    <row r="278" spans="1:11" ht="15">
      <c r="A278" s="13">
        <v>50100</v>
      </c>
      <c r="B278" s="63">
        <f>4.6905 * CHOOSE(CONTROL!$C$22, $C$13, 100%, $E$13)</f>
        <v>4.6905000000000001</v>
      </c>
      <c r="C278" s="63">
        <f>4.6905 * CHOOSE(CONTROL!$C$22, $C$13, 100%, $E$13)</f>
        <v>4.6905000000000001</v>
      </c>
      <c r="D278" s="63">
        <f>4.7105 * CHOOSE(CONTROL!$C$22, $C$13, 100%, $E$13)</f>
        <v>4.7104999999999997</v>
      </c>
      <c r="E278" s="64">
        <f>5.3734 * CHOOSE(CONTROL!$C$22, $C$13, 100%, $E$13)</f>
        <v>5.3734000000000002</v>
      </c>
      <c r="F278" s="64">
        <f>5.3734 * CHOOSE(CONTROL!$C$22, $C$13, 100%, $E$13)</f>
        <v>5.3734000000000002</v>
      </c>
      <c r="G278" s="64">
        <f>5.3736 * CHOOSE(CONTROL!$C$22, $C$13, 100%, $E$13)</f>
        <v>5.3735999999999997</v>
      </c>
      <c r="H278" s="64">
        <f>9.7232* CHOOSE(CONTROL!$C$22, $C$13, 100%, $E$13)</f>
        <v>9.7232000000000003</v>
      </c>
      <c r="I278" s="64">
        <f>9.7234 * CHOOSE(CONTROL!$C$22, $C$13, 100%, $E$13)</f>
        <v>9.7233999999999998</v>
      </c>
      <c r="J278" s="64">
        <f>5.3734 * CHOOSE(CONTROL!$C$22, $C$13, 100%, $E$13)</f>
        <v>5.3734000000000002</v>
      </c>
      <c r="K278" s="64">
        <f>5.3736 * CHOOSE(CONTROL!$C$22, $C$13, 100%, $E$13)</f>
        <v>5.3735999999999997</v>
      </c>
    </row>
    <row r="279" spans="1:11" ht="15">
      <c r="A279" s="13">
        <v>50131</v>
      </c>
      <c r="B279" s="63">
        <f>4.6888 * CHOOSE(CONTROL!$C$22, $C$13, 100%, $E$13)</f>
        <v>4.6887999999999996</v>
      </c>
      <c r="C279" s="63">
        <f>4.6888 * CHOOSE(CONTROL!$C$22, $C$13, 100%, $E$13)</f>
        <v>4.6887999999999996</v>
      </c>
      <c r="D279" s="63">
        <f>4.7088 * CHOOSE(CONTROL!$C$22, $C$13, 100%, $E$13)</f>
        <v>4.7088000000000001</v>
      </c>
      <c r="E279" s="64">
        <f>5.4191 * CHOOSE(CONTROL!$C$22, $C$13, 100%, $E$13)</f>
        <v>5.4191000000000003</v>
      </c>
      <c r="F279" s="64">
        <f>5.4191 * CHOOSE(CONTROL!$C$22, $C$13, 100%, $E$13)</f>
        <v>5.4191000000000003</v>
      </c>
      <c r="G279" s="64">
        <f>5.4192 * CHOOSE(CONTROL!$C$22, $C$13, 100%, $E$13)</f>
        <v>5.4192</v>
      </c>
      <c r="H279" s="64">
        <f>9.7434* CHOOSE(CONTROL!$C$22, $C$13, 100%, $E$13)</f>
        <v>9.7433999999999994</v>
      </c>
      <c r="I279" s="64">
        <f>9.7436 * CHOOSE(CONTROL!$C$22, $C$13, 100%, $E$13)</f>
        <v>9.7436000000000007</v>
      </c>
      <c r="J279" s="64">
        <f>5.4191 * CHOOSE(CONTROL!$C$22, $C$13, 100%, $E$13)</f>
        <v>5.4191000000000003</v>
      </c>
      <c r="K279" s="64">
        <f>5.4192 * CHOOSE(CONTROL!$C$22, $C$13, 100%, $E$13)</f>
        <v>5.4192</v>
      </c>
    </row>
    <row r="280" spans="1:11" ht="15">
      <c r="A280" s="13">
        <v>50161</v>
      </c>
      <c r="B280" s="63">
        <f>4.6888 * CHOOSE(CONTROL!$C$22, $C$13, 100%, $E$13)</f>
        <v>4.6887999999999996</v>
      </c>
      <c r="C280" s="63">
        <f>4.6888 * CHOOSE(CONTROL!$C$22, $C$13, 100%, $E$13)</f>
        <v>4.6887999999999996</v>
      </c>
      <c r="D280" s="63">
        <f>4.7288 * CHOOSE(CONTROL!$C$22, $C$13, 100%, $E$13)</f>
        <v>4.7287999999999997</v>
      </c>
      <c r="E280" s="64">
        <f>5.4378 * CHOOSE(CONTROL!$C$22, $C$13, 100%, $E$13)</f>
        <v>5.4378000000000002</v>
      </c>
      <c r="F280" s="64">
        <f>5.4378 * CHOOSE(CONTROL!$C$22, $C$13, 100%, $E$13)</f>
        <v>5.4378000000000002</v>
      </c>
      <c r="G280" s="64">
        <f>5.4402 * CHOOSE(CONTROL!$C$22, $C$13, 100%, $E$13)</f>
        <v>5.4401999999999999</v>
      </c>
      <c r="H280" s="64">
        <f>9.7637* CHOOSE(CONTROL!$C$22, $C$13, 100%, $E$13)</f>
        <v>9.7637</v>
      </c>
      <c r="I280" s="64">
        <f>9.7662 * CHOOSE(CONTROL!$C$22, $C$13, 100%, $E$13)</f>
        <v>9.7661999999999995</v>
      </c>
      <c r="J280" s="64">
        <f>5.4378 * CHOOSE(CONTROL!$C$22, $C$13, 100%, $E$13)</f>
        <v>5.4378000000000002</v>
      </c>
      <c r="K280" s="64">
        <f>5.4402 * CHOOSE(CONTROL!$C$22, $C$13, 100%, $E$13)</f>
        <v>5.4401999999999999</v>
      </c>
    </row>
    <row r="281" spans="1:11" ht="15">
      <c r="A281" s="13">
        <v>50192</v>
      </c>
      <c r="B281" s="63">
        <f>4.6949 * CHOOSE(CONTROL!$C$22, $C$13, 100%, $E$13)</f>
        <v>4.6948999999999996</v>
      </c>
      <c r="C281" s="63">
        <f>4.6949 * CHOOSE(CONTROL!$C$22, $C$13, 100%, $E$13)</f>
        <v>4.6948999999999996</v>
      </c>
      <c r="D281" s="63">
        <f>4.7348 * CHOOSE(CONTROL!$C$22, $C$13, 100%, $E$13)</f>
        <v>4.7347999999999999</v>
      </c>
      <c r="E281" s="64">
        <f>5.4233 * CHOOSE(CONTROL!$C$22, $C$13, 100%, $E$13)</f>
        <v>5.4233000000000002</v>
      </c>
      <c r="F281" s="64">
        <f>5.4233 * CHOOSE(CONTROL!$C$22, $C$13, 100%, $E$13)</f>
        <v>5.4233000000000002</v>
      </c>
      <c r="G281" s="64">
        <f>5.4257 * CHOOSE(CONTROL!$C$22, $C$13, 100%, $E$13)</f>
        <v>5.4257</v>
      </c>
      <c r="H281" s="64">
        <f>9.7841* CHOOSE(CONTROL!$C$22, $C$13, 100%, $E$13)</f>
        <v>9.7841000000000005</v>
      </c>
      <c r="I281" s="64">
        <f>9.7865 * CHOOSE(CONTROL!$C$22, $C$13, 100%, $E$13)</f>
        <v>9.7865000000000002</v>
      </c>
      <c r="J281" s="64">
        <f>5.4233 * CHOOSE(CONTROL!$C$22, $C$13, 100%, $E$13)</f>
        <v>5.4233000000000002</v>
      </c>
      <c r="K281" s="64">
        <f>5.4257 * CHOOSE(CONTROL!$C$22, $C$13, 100%, $E$13)</f>
        <v>5.4257</v>
      </c>
    </row>
    <row r="282" spans="1:11" ht="15">
      <c r="A282" s="13">
        <v>50222</v>
      </c>
      <c r="B282" s="63">
        <f>4.7758 * CHOOSE(CONTROL!$C$22, $C$13, 100%, $E$13)</f>
        <v>4.7758000000000003</v>
      </c>
      <c r="C282" s="63">
        <f>4.7758 * CHOOSE(CONTROL!$C$22, $C$13, 100%, $E$13)</f>
        <v>4.7758000000000003</v>
      </c>
      <c r="D282" s="63">
        <f>4.8157 * CHOOSE(CONTROL!$C$22, $C$13, 100%, $E$13)</f>
        <v>4.8156999999999996</v>
      </c>
      <c r="E282" s="64">
        <f>5.5312 * CHOOSE(CONTROL!$C$22, $C$13, 100%, $E$13)</f>
        <v>5.5312000000000001</v>
      </c>
      <c r="F282" s="64">
        <f>5.5312 * CHOOSE(CONTROL!$C$22, $C$13, 100%, $E$13)</f>
        <v>5.5312000000000001</v>
      </c>
      <c r="G282" s="64">
        <f>5.5336 * CHOOSE(CONTROL!$C$22, $C$13, 100%, $E$13)</f>
        <v>5.5335999999999999</v>
      </c>
      <c r="H282" s="64">
        <f>9.8045* CHOOSE(CONTROL!$C$22, $C$13, 100%, $E$13)</f>
        <v>9.8045000000000009</v>
      </c>
      <c r="I282" s="64">
        <f>9.8069 * CHOOSE(CONTROL!$C$22, $C$13, 100%, $E$13)</f>
        <v>9.8069000000000006</v>
      </c>
      <c r="J282" s="64">
        <f>5.5312 * CHOOSE(CONTROL!$C$22, $C$13, 100%, $E$13)</f>
        <v>5.5312000000000001</v>
      </c>
      <c r="K282" s="64">
        <f>5.5336 * CHOOSE(CONTROL!$C$22, $C$13, 100%, $E$13)</f>
        <v>5.5335999999999999</v>
      </c>
    </row>
    <row r="283" spans="1:11" ht="15">
      <c r="A283" s="13">
        <v>50253</v>
      </c>
      <c r="B283" s="63">
        <f>4.7825 * CHOOSE(CONTROL!$C$22, $C$13, 100%, $E$13)</f>
        <v>4.7824999999999998</v>
      </c>
      <c r="C283" s="63">
        <f>4.7825 * CHOOSE(CONTROL!$C$22, $C$13, 100%, $E$13)</f>
        <v>4.7824999999999998</v>
      </c>
      <c r="D283" s="63">
        <f>4.8224 * CHOOSE(CONTROL!$C$22, $C$13, 100%, $E$13)</f>
        <v>4.8224</v>
      </c>
      <c r="E283" s="64">
        <f>5.4797 * CHOOSE(CONTROL!$C$22, $C$13, 100%, $E$13)</f>
        <v>5.4797000000000002</v>
      </c>
      <c r="F283" s="64">
        <f>5.4797 * CHOOSE(CONTROL!$C$22, $C$13, 100%, $E$13)</f>
        <v>5.4797000000000002</v>
      </c>
      <c r="G283" s="64">
        <f>5.4822 * CHOOSE(CONTROL!$C$22, $C$13, 100%, $E$13)</f>
        <v>5.4821999999999997</v>
      </c>
      <c r="H283" s="64">
        <f>9.8249* CHOOSE(CONTROL!$C$22, $C$13, 100%, $E$13)</f>
        <v>9.8248999999999995</v>
      </c>
      <c r="I283" s="64">
        <f>9.8273 * CHOOSE(CONTROL!$C$22, $C$13, 100%, $E$13)</f>
        <v>9.8272999999999993</v>
      </c>
      <c r="J283" s="64">
        <f>5.4797 * CHOOSE(CONTROL!$C$22, $C$13, 100%, $E$13)</f>
        <v>5.4797000000000002</v>
      </c>
      <c r="K283" s="64">
        <f>5.4822 * CHOOSE(CONTROL!$C$22, $C$13, 100%, $E$13)</f>
        <v>5.4821999999999997</v>
      </c>
    </row>
    <row r="284" spans="1:11" ht="15">
      <c r="A284" s="13">
        <v>50284</v>
      </c>
      <c r="B284" s="63">
        <f>4.7794 * CHOOSE(CONTROL!$C$22, $C$13, 100%, $E$13)</f>
        <v>4.7793999999999999</v>
      </c>
      <c r="C284" s="63">
        <f>4.7794 * CHOOSE(CONTROL!$C$22, $C$13, 100%, $E$13)</f>
        <v>4.7793999999999999</v>
      </c>
      <c r="D284" s="63">
        <f>4.8194 * CHOOSE(CONTROL!$C$22, $C$13, 100%, $E$13)</f>
        <v>4.8193999999999999</v>
      </c>
      <c r="E284" s="64">
        <f>5.4714 * CHOOSE(CONTROL!$C$22, $C$13, 100%, $E$13)</f>
        <v>5.4714</v>
      </c>
      <c r="F284" s="64">
        <f>5.4714 * CHOOSE(CONTROL!$C$22, $C$13, 100%, $E$13)</f>
        <v>5.4714</v>
      </c>
      <c r="G284" s="64">
        <f>5.4738 * CHOOSE(CONTROL!$C$22, $C$13, 100%, $E$13)</f>
        <v>5.4737999999999998</v>
      </c>
      <c r="H284" s="64">
        <f>9.8454* CHOOSE(CONTROL!$C$22, $C$13, 100%, $E$13)</f>
        <v>9.8453999999999997</v>
      </c>
      <c r="I284" s="64">
        <f>9.8478 * CHOOSE(CONTROL!$C$22, $C$13, 100%, $E$13)</f>
        <v>9.8477999999999994</v>
      </c>
      <c r="J284" s="64">
        <f>5.4714 * CHOOSE(CONTROL!$C$22, $C$13, 100%, $E$13)</f>
        <v>5.4714</v>
      </c>
      <c r="K284" s="64">
        <f>5.4738 * CHOOSE(CONTROL!$C$22, $C$13, 100%, $E$13)</f>
        <v>5.4737999999999998</v>
      </c>
    </row>
    <row r="285" spans="1:11" ht="15">
      <c r="A285" s="13">
        <v>50314</v>
      </c>
      <c r="B285" s="63">
        <f>4.7773 * CHOOSE(CONTROL!$C$22, $C$13, 100%, $E$13)</f>
        <v>4.7773000000000003</v>
      </c>
      <c r="C285" s="63">
        <f>4.7773 * CHOOSE(CONTROL!$C$22, $C$13, 100%, $E$13)</f>
        <v>4.7773000000000003</v>
      </c>
      <c r="D285" s="63">
        <f>4.7973 * CHOOSE(CONTROL!$C$22, $C$13, 100%, $E$13)</f>
        <v>4.7972999999999999</v>
      </c>
      <c r="E285" s="64">
        <f>5.4829 * CHOOSE(CONTROL!$C$22, $C$13, 100%, $E$13)</f>
        <v>5.4828999999999999</v>
      </c>
      <c r="F285" s="64">
        <f>5.4829 * CHOOSE(CONTROL!$C$22, $C$13, 100%, $E$13)</f>
        <v>5.4828999999999999</v>
      </c>
      <c r="G285" s="64">
        <f>5.4831 * CHOOSE(CONTROL!$C$22, $C$13, 100%, $E$13)</f>
        <v>5.4831000000000003</v>
      </c>
      <c r="H285" s="64">
        <f>9.8659* CHOOSE(CONTROL!$C$22, $C$13, 100%, $E$13)</f>
        <v>9.8658999999999999</v>
      </c>
      <c r="I285" s="64">
        <f>9.866 * CHOOSE(CONTROL!$C$22, $C$13, 100%, $E$13)</f>
        <v>9.8659999999999997</v>
      </c>
      <c r="J285" s="64">
        <f>5.4829 * CHOOSE(CONTROL!$C$22, $C$13, 100%, $E$13)</f>
        <v>5.4828999999999999</v>
      </c>
      <c r="K285" s="64">
        <f>5.4831 * CHOOSE(CONTROL!$C$22, $C$13, 100%, $E$13)</f>
        <v>5.4831000000000003</v>
      </c>
    </row>
    <row r="286" spans="1:11" ht="15">
      <c r="A286" s="13">
        <v>50345</v>
      </c>
      <c r="B286" s="63">
        <f>4.7804 * CHOOSE(CONTROL!$C$22, $C$13, 100%, $E$13)</f>
        <v>4.7804000000000002</v>
      </c>
      <c r="C286" s="63">
        <f>4.7804 * CHOOSE(CONTROL!$C$22, $C$13, 100%, $E$13)</f>
        <v>4.7804000000000002</v>
      </c>
      <c r="D286" s="63">
        <f>4.8003 * CHOOSE(CONTROL!$C$22, $C$13, 100%, $E$13)</f>
        <v>4.8003</v>
      </c>
      <c r="E286" s="64">
        <f>5.4975 * CHOOSE(CONTROL!$C$22, $C$13, 100%, $E$13)</f>
        <v>5.4974999999999996</v>
      </c>
      <c r="F286" s="64">
        <f>5.4975 * CHOOSE(CONTROL!$C$22, $C$13, 100%, $E$13)</f>
        <v>5.4974999999999996</v>
      </c>
      <c r="G286" s="64">
        <f>5.4977 * CHOOSE(CONTROL!$C$22, $C$13, 100%, $E$13)</f>
        <v>5.4977</v>
      </c>
      <c r="H286" s="64">
        <f>9.8864* CHOOSE(CONTROL!$C$22, $C$13, 100%, $E$13)</f>
        <v>9.8864000000000001</v>
      </c>
      <c r="I286" s="64">
        <f>9.8866 * CHOOSE(CONTROL!$C$22, $C$13, 100%, $E$13)</f>
        <v>9.8865999999999996</v>
      </c>
      <c r="J286" s="64">
        <f>5.4975 * CHOOSE(CONTROL!$C$22, $C$13, 100%, $E$13)</f>
        <v>5.4974999999999996</v>
      </c>
      <c r="K286" s="64">
        <f>5.4977 * CHOOSE(CONTROL!$C$22, $C$13, 100%, $E$13)</f>
        <v>5.4977</v>
      </c>
    </row>
    <row r="287" spans="1:11" ht="15">
      <c r="A287" s="13">
        <v>50375</v>
      </c>
      <c r="B287" s="63">
        <f>4.7804 * CHOOSE(CONTROL!$C$22, $C$13, 100%, $E$13)</f>
        <v>4.7804000000000002</v>
      </c>
      <c r="C287" s="63">
        <f>4.7804 * CHOOSE(CONTROL!$C$22, $C$13, 100%, $E$13)</f>
        <v>4.7804000000000002</v>
      </c>
      <c r="D287" s="63">
        <f>4.8003 * CHOOSE(CONTROL!$C$22, $C$13, 100%, $E$13)</f>
        <v>4.8003</v>
      </c>
      <c r="E287" s="64">
        <f>5.4663 * CHOOSE(CONTROL!$C$22, $C$13, 100%, $E$13)</f>
        <v>5.4663000000000004</v>
      </c>
      <c r="F287" s="64">
        <f>5.4663 * CHOOSE(CONTROL!$C$22, $C$13, 100%, $E$13)</f>
        <v>5.4663000000000004</v>
      </c>
      <c r="G287" s="64">
        <f>5.4665 * CHOOSE(CONTROL!$C$22, $C$13, 100%, $E$13)</f>
        <v>5.4664999999999999</v>
      </c>
      <c r="H287" s="64">
        <f>9.907* CHOOSE(CONTROL!$C$22, $C$13, 100%, $E$13)</f>
        <v>9.907</v>
      </c>
      <c r="I287" s="64">
        <f>9.9072 * CHOOSE(CONTROL!$C$22, $C$13, 100%, $E$13)</f>
        <v>9.9071999999999996</v>
      </c>
      <c r="J287" s="64">
        <f>5.4663 * CHOOSE(CONTROL!$C$22, $C$13, 100%, $E$13)</f>
        <v>5.4663000000000004</v>
      </c>
      <c r="K287" s="64">
        <f>5.4665 * CHOOSE(CONTROL!$C$22, $C$13, 100%, $E$13)</f>
        <v>5.4664999999999999</v>
      </c>
    </row>
    <row r="288" spans="1:11" ht="15">
      <c r="A288" s="13">
        <v>50406</v>
      </c>
      <c r="B288" s="63">
        <f>4.8249 * CHOOSE(CONTROL!$C$22, $C$13, 100%, $E$13)</f>
        <v>4.8249000000000004</v>
      </c>
      <c r="C288" s="63">
        <f>4.8249 * CHOOSE(CONTROL!$C$22, $C$13, 100%, $E$13)</f>
        <v>4.8249000000000004</v>
      </c>
      <c r="D288" s="63">
        <f>4.8449 * CHOOSE(CONTROL!$C$22, $C$13, 100%, $E$13)</f>
        <v>4.8449</v>
      </c>
      <c r="E288" s="64">
        <f>5.5383 * CHOOSE(CONTROL!$C$22, $C$13, 100%, $E$13)</f>
        <v>5.5382999999999996</v>
      </c>
      <c r="F288" s="64">
        <f>5.5383 * CHOOSE(CONTROL!$C$22, $C$13, 100%, $E$13)</f>
        <v>5.5382999999999996</v>
      </c>
      <c r="G288" s="64">
        <f>5.5385 * CHOOSE(CONTROL!$C$22, $C$13, 100%, $E$13)</f>
        <v>5.5385</v>
      </c>
      <c r="H288" s="64">
        <f>9.9277* CHOOSE(CONTROL!$C$22, $C$13, 100%, $E$13)</f>
        <v>9.9276999999999997</v>
      </c>
      <c r="I288" s="64">
        <f>9.9278 * CHOOSE(CONTROL!$C$22, $C$13, 100%, $E$13)</f>
        <v>9.9277999999999995</v>
      </c>
      <c r="J288" s="64">
        <f>5.5383 * CHOOSE(CONTROL!$C$22, $C$13, 100%, $E$13)</f>
        <v>5.5382999999999996</v>
      </c>
      <c r="K288" s="64">
        <f>5.5385 * CHOOSE(CONTROL!$C$22, $C$13, 100%, $E$13)</f>
        <v>5.5385</v>
      </c>
    </row>
    <row r="289" spans="1:11" ht="15">
      <c r="A289" s="13">
        <v>50437</v>
      </c>
      <c r="B289" s="63">
        <f>4.8219 * CHOOSE(CONTROL!$C$22, $C$13, 100%, $E$13)</f>
        <v>4.8219000000000003</v>
      </c>
      <c r="C289" s="63">
        <f>4.8219 * CHOOSE(CONTROL!$C$22, $C$13, 100%, $E$13)</f>
        <v>4.8219000000000003</v>
      </c>
      <c r="D289" s="63">
        <f>4.8418 * CHOOSE(CONTROL!$C$22, $C$13, 100%, $E$13)</f>
        <v>4.8418000000000001</v>
      </c>
      <c r="E289" s="64">
        <f>5.4757 * CHOOSE(CONTROL!$C$22, $C$13, 100%, $E$13)</f>
        <v>5.4756999999999998</v>
      </c>
      <c r="F289" s="64">
        <f>5.4757 * CHOOSE(CONTROL!$C$22, $C$13, 100%, $E$13)</f>
        <v>5.4756999999999998</v>
      </c>
      <c r="G289" s="64">
        <f>5.4759 * CHOOSE(CONTROL!$C$22, $C$13, 100%, $E$13)</f>
        <v>5.4759000000000002</v>
      </c>
      <c r="H289" s="64">
        <f>9.9483* CHOOSE(CONTROL!$C$22, $C$13, 100%, $E$13)</f>
        <v>9.9482999999999997</v>
      </c>
      <c r="I289" s="64">
        <f>9.9485 * CHOOSE(CONTROL!$C$22, $C$13, 100%, $E$13)</f>
        <v>9.9484999999999992</v>
      </c>
      <c r="J289" s="64">
        <f>5.4757 * CHOOSE(CONTROL!$C$22, $C$13, 100%, $E$13)</f>
        <v>5.4756999999999998</v>
      </c>
      <c r="K289" s="64">
        <f>5.4759 * CHOOSE(CONTROL!$C$22, $C$13, 100%, $E$13)</f>
        <v>5.4759000000000002</v>
      </c>
    </row>
    <row r="290" spans="1:11" ht="15">
      <c r="A290" s="13">
        <v>50465</v>
      </c>
      <c r="B290" s="63">
        <f>4.8188 * CHOOSE(CONTROL!$C$22, $C$13, 100%, $E$13)</f>
        <v>4.8188000000000004</v>
      </c>
      <c r="C290" s="63">
        <f>4.8188 * CHOOSE(CONTROL!$C$22, $C$13, 100%, $E$13)</f>
        <v>4.8188000000000004</v>
      </c>
      <c r="D290" s="63">
        <f>4.8388 * CHOOSE(CONTROL!$C$22, $C$13, 100%, $E$13)</f>
        <v>4.8388</v>
      </c>
      <c r="E290" s="64">
        <f>5.5212 * CHOOSE(CONTROL!$C$22, $C$13, 100%, $E$13)</f>
        <v>5.5212000000000003</v>
      </c>
      <c r="F290" s="64">
        <f>5.5212 * CHOOSE(CONTROL!$C$22, $C$13, 100%, $E$13)</f>
        <v>5.5212000000000003</v>
      </c>
      <c r="G290" s="64">
        <f>5.5214 * CHOOSE(CONTROL!$C$22, $C$13, 100%, $E$13)</f>
        <v>5.5213999999999999</v>
      </c>
      <c r="H290" s="64">
        <f>9.9691* CHOOSE(CONTROL!$C$22, $C$13, 100%, $E$13)</f>
        <v>9.9690999999999992</v>
      </c>
      <c r="I290" s="64">
        <f>9.9692 * CHOOSE(CONTROL!$C$22, $C$13, 100%, $E$13)</f>
        <v>9.9692000000000007</v>
      </c>
      <c r="J290" s="64">
        <f>5.5212 * CHOOSE(CONTROL!$C$22, $C$13, 100%, $E$13)</f>
        <v>5.5212000000000003</v>
      </c>
      <c r="K290" s="64">
        <f>5.5214 * CHOOSE(CONTROL!$C$22, $C$13, 100%, $E$13)</f>
        <v>5.5213999999999999</v>
      </c>
    </row>
    <row r="291" spans="1:11" ht="15">
      <c r="A291" s="13">
        <v>50496</v>
      </c>
      <c r="B291" s="63">
        <f>4.8172 * CHOOSE(CONTROL!$C$22, $C$13, 100%, $E$13)</f>
        <v>4.8171999999999997</v>
      </c>
      <c r="C291" s="63">
        <f>4.8172 * CHOOSE(CONTROL!$C$22, $C$13, 100%, $E$13)</f>
        <v>4.8171999999999997</v>
      </c>
      <c r="D291" s="63">
        <f>4.8372 * CHOOSE(CONTROL!$C$22, $C$13, 100%, $E$13)</f>
        <v>4.8372000000000002</v>
      </c>
      <c r="E291" s="64">
        <f>5.5682 * CHOOSE(CONTROL!$C$22, $C$13, 100%, $E$13)</f>
        <v>5.5682</v>
      </c>
      <c r="F291" s="64">
        <f>5.5682 * CHOOSE(CONTROL!$C$22, $C$13, 100%, $E$13)</f>
        <v>5.5682</v>
      </c>
      <c r="G291" s="64">
        <f>5.5684 * CHOOSE(CONTROL!$C$22, $C$13, 100%, $E$13)</f>
        <v>5.5683999999999996</v>
      </c>
      <c r="H291" s="64">
        <f>9.9898* CHOOSE(CONTROL!$C$22, $C$13, 100%, $E$13)</f>
        <v>9.9898000000000007</v>
      </c>
      <c r="I291" s="64">
        <f>9.99 * CHOOSE(CONTROL!$C$22, $C$13, 100%, $E$13)</f>
        <v>9.99</v>
      </c>
      <c r="J291" s="64">
        <f>5.5682 * CHOOSE(CONTROL!$C$22, $C$13, 100%, $E$13)</f>
        <v>5.5682</v>
      </c>
      <c r="K291" s="64">
        <f>5.5684 * CHOOSE(CONTROL!$C$22, $C$13, 100%, $E$13)</f>
        <v>5.5683999999999996</v>
      </c>
    </row>
    <row r="292" spans="1:11" ht="15">
      <c r="A292" s="13">
        <v>50526</v>
      </c>
      <c r="B292" s="63">
        <f>4.8172 * CHOOSE(CONTROL!$C$22, $C$13, 100%, $E$13)</f>
        <v>4.8171999999999997</v>
      </c>
      <c r="C292" s="63">
        <f>4.8172 * CHOOSE(CONTROL!$C$22, $C$13, 100%, $E$13)</f>
        <v>4.8171999999999997</v>
      </c>
      <c r="D292" s="63">
        <f>4.8572 * CHOOSE(CONTROL!$C$22, $C$13, 100%, $E$13)</f>
        <v>4.8571999999999997</v>
      </c>
      <c r="E292" s="64">
        <f>5.5874 * CHOOSE(CONTROL!$C$22, $C$13, 100%, $E$13)</f>
        <v>5.5873999999999997</v>
      </c>
      <c r="F292" s="64">
        <f>5.5874 * CHOOSE(CONTROL!$C$22, $C$13, 100%, $E$13)</f>
        <v>5.5873999999999997</v>
      </c>
      <c r="G292" s="64">
        <f>5.5899 * CHOOSE(CONTROL!$C$22, $C$13, 100%, $E$13)</f>
        <v>5.5899000000000001</v>
      </c>
      <c r="H292" s="64">
        <f>10.0107* CHOOSE(CONTROL!$C$22, $C$13, 100%, $E$13)</f>
        <v>10.0107</v>
      </c>
      <c r="I292" s="64">
        <f>10.0131 * CHOOSE(CONTROL!$C$22, $C$13, 100%, $E$13)</f>
        <v>10.0131</v>
      </c>
      <c r="J292" s="64">
        <f>5.5874 * CHOOSE(CONTROL!$C$22, $C$13, 100%, $E$13)</f>
        <v>5.5873999999999997</v>
      </c>
      <c r="K292" s="64">
        <f>5.5899 * CHOOSE(CONTROL!$C$22, $C$13, 100%, $E$13)</f>
        <v>5.5899000000000001</v>
      </c>
    </row>
    <row r="293" spans="1:11" ht="15">
      <c r="A293" s="13">
        <v>50557</v>
      </c>
      <c r="B293" s="63">
        <f>4.8233 * CHOOSE(CONTROL!$C$22, $C$13, 100%, $E$13)</f>
        <v>4.8232999999999997</v>
      </c>
      <c r="C293" s="63">
        <f>4.8233 * CHOOSE(CONTROL!$C$22, $C$13, 100%, $E$13)</f>
        <v>4.8232999999999997</v>
      </c>
      <c r="D293" s="63">
        <f>4.8632 * CHOOSE(CONTROL!$C$22, $C$13, 100%, $E$13)</f>
        <v>4.8632</v>
      </c>
      <c r="E293" s="64">
        <f>5.5724 * CHOOSE(CONTROL!$C$22, $C$13, 100%, $E$13)</f>
        <v>5.5724</v>
      </c>
      <c r="F293" s="64">
        <f>5.5724 * CHOOSE(CONTROL!$C$22, $C$13, 100%, $E$13)</f>
        <v>5.5724</v>
      </c>
      <c r="G293" s="64">
        <f>5.5749 * CHOOSE(CONTROL!$C$22, $C$13, 100%, $E$13)</f>
        <v>5.5749000000000004</v>
      </c>
      <c r="H293" s="64">
        <f>10.0315* CHOOSE(CONTROL!$C$22, $C$13, 100%, $E$13)</f>
        <v>10.031499999999999</v>
      </c>
      <c r="I293" s="64">
        <f>10.034 * CHOOSE(CONTROL!$C$22, $C$13, 100%, $E$13)</f>
        <v>10.034000000000001</v>
      </c>
      <c r="J293" s="64">
        <f>5.5724 * CHOOSE(CONTROL!$C$22, $C$13, 100%, $E$13)</f>
        <v>5.5724</v>
      </c>
      <c r="K293" s="64">
        <f>5.5749 * CHOOSE(CONTROL!$C$22, $C$13, 100%, $E$13)</f>
        <v>5.5749000000000004</v>
      </c>
    </row>
    <row r="294" spans="1:11" ht="15">
      <c r="A294" s="13">
        <v>50587</v>
      </c>
      <c r="B294" s="63">
        <f>4.9066 * CHOOSE(CONTROL!$C$22, $C$13, 100%, $E$13)</f>
        <v>4.9066000000000001</v>
      </c>
      <c r="C294" s="63">
        <f>4.9066 * CHOOSE(CONTROL!$C$22, $C$13, 100%, $E$13)</f>
        <v>4.9066000000000001</v>
      </c>
      <c r="D294" s="63">
        <f>4.9465 * CHOOSE(CONTROL!$C$22, $C$13, 100%, $E$13)</f>
        <v>4.9465000000000003</v>
      </c>
      <c r="E294" s="64">
        <f>5.6862 * CHOOSE(CONTROL!$C$22, $C$13, 100%, $E$13)</f>
        <v>5.6862000000000004</v>
      </c>
      <c r="F294" s="64">
        <f>5.6862 * CHOOSE(CONTROL!$C$22, $C$13, 100%, $E$13)</f>
        <v>5.6862000000000004</v>
      </c>
      <c r="G294" s="64">
        <f>5.6886 * CHOOSE(CONTROL!$C$22, $C$13, 100%, $E$13)</f>
        <v>5.6886000000000001</v>
      </c>
      <c r="H294" s="64">
        <f>10.0524* CHOOSE(CONTROL!$C$22, $C$13, 100%, $E$13)</f>
        <v>10.0524</v>
      </c>
      <c r="I294" s="64">
        <f>10.0549 * CHOOSE(CONTROL!$C$22, $C$13, 100%, $E$13)</f>
        <v>10.0549</v>
      </c>
      <c r="J294" s="64">
        <f>5.6862 * CHOOSE(CONTROL!$C$22, $C$13, 100%, $E$13)</f>
        <v>5.6862000000000004</v>
      </c>
      <c r="K294" s="64">
        <f>5.6886 * CHOOSE(CONTROL!$C$22, $C$13, 100%, $E$13)</f>
        <v>5.6886000000000001</v>
      </c>
    </row>
    <row r="295" spans="1:11" ht="15">
      <c r="A295" s="13">
        <v>50618</v>
      </c>
      <c r="B295" s="63">
        <f>4.9133 * CHOOSE(CONTROL!$C$22, $C$13, 100%, $E$13)</f>
        <v>4.9132999999999996</v>
      </c>
      <c r="C295" s="63">
        <f>4.9133 * CHOOSE(CONTROL!$C$22, $C$13, 100%, $E$13)</f>
        <v>4.9132999999999996</v>
      </c>
      <c r="D295" s="63">
        <f>4.9532 * CHOOSE(CONTROL!$C$22, $C$13, 100%, $E$13)</f>
        <v>4.9531999999999998</v>
      </c>
      <c r="E295" s="64">
        <f>5.6332 * CHOOSE(CONTROL!$C$22, $C$13, 100%, $E$13)</f>
        <v>5.6332000000000004</v>
      </c>
      <c r="F295" s="64">
        <f>5.6332 * CHOOSE(CONTROL!$C$22, $C$13, 100%, $E$13)</f>
        <v>5.6332000000000004</v>
      </c>
      <c r="G295" s="64">
        <f>5.6357 * CHOOSE(CONTROL!$C$22, $C$13, 100%, $E$13)</f>
        <v>5.6356999999999999</v>
      </c>
      <c r="H295" s="64">
        <f>10.0733* CHOOSE(CONTROL!$C$22, $C$13, 100%, $E$13)</f>
        <v>10.0733</v>
      </c>
      <c r="I295" s="64">
        <f>10.0758 * CHOOSE(CONTROL!$C$22, $C$13, 100%, $E$13)</f>
        <v>10.075799999999999</v>
      </c>
      <c r="J295" s="64">
        <f>5.6332 * CHOOSE(CONTROL!$C$22, $C$13, 100%, $E$13)</f>
        <v>5.6332000000000004</v>
      </c>
      <c r="K295" s="64">
        <f>5.6357 * CHOOSE(CONTROL!$C$22, $C$13, 100%, $E$13)</f>
        <v>5.6356999999999999</v>
      </c>
    </row>
    <row r="296" spans="1:11" ht="15">
      <c r="A296" s="13">
        <v>50649</v>
      </c>
      <c r="B296" s="63">
        <f>4.9102 * CHOOSE(CONTROL!$C$22, $C$13, 100%, $E$13)</f>
        <v>4.9101999999999997</v>
      </c>
      <c r="C296" s="63">
        <f>4.9102 * CHOOSE(CONTROL!$C$22, $C$13, 100%, $E$13)</f>
        <v>4.9101999999999997</v>
      </c>
      <c r="D296" s="63">
        <f>4.9502 * CHOOSE(CONTROL!$C$22, $C$13, 100%, $E$13)</f>
        <v>4.9501999999999997</v>
      </c>
      <c r="E296" s="64">
        <f>5.6247 * CHOOSE(CONTROL!$C$22, $C$13, 100%, $E$13)</f>
        <v>5.6246999999999998</v>
      </c>
      <c r="F296" s="64">
        <f>5.6247 * CHOOSE(CONTROL!$C$22, $C$13, 100%, $E$13)</f>
        <v>5.6246999999999998</v>
      </c>
      <c r="G296" s="64">
        <f>5.6272 * CHOOSE(CONTROL!$C$22, $C$13, 100%, $E$13)</f>
        <v>5.6272000000000002</v>
      </c>
      <c r="H296" s="64">
        <f>10.0943* CHOOSE(CONTROL!$C$22, $C$13, 100%, $E$13)</f>
        <v>10.0943</v>
      </c>
      <c r="I296" s="64">
        <f>10.0968 * CHOOSE(CONTROL!$C$22, $C$13, 100%, $E$13)</f>
        <v>10.0968</v>
      </c>
      <c r="J296" s="64">
        <f>5.6247 * CHOOSE(CONTROL!$C$22, $C$13, 100%, $E$13)</f>
        <v>5.6246999999999998</v>
      </c>
      <c r="K296" s="64">
        <f>5.6272 * CHOOSE(CONTROL!$C$22, $C$13, 100%, $E$13)</f>
        <v>5.6272000000000002</v>
      </c>
    </row>
    <row r="297" spans="1:11" ht="15">
      <c r="A297" s="13">
        <v>50679</v>
      </c>
      <c r="B297" s="63">
        <f>4.9086 * CHOOSE(CONTROL!$C$22, $C$13, 100%, $E$13)</f>
        <v>4.9085999999999999</v>
      </c>
      <c r="C297" s="63">
        <f>4.9086 * CHOOSE(CONTROL!$C$22, $C$13, 100%, $E$13)</f>
        <v>4.9085999999999999</v>
      </c>
      <c r="D297" s="63">
        <f>4.9285 * CHOOSE(CONTROL!$C$22, $C$13, 100%, $E$13)</f>
        <v>4.9284999999999997</v>
      </c>
      <c r="E297" s="64">
        <f>5.6369 * CHOOSE(CONTROL!$C$22, $C$13, 100%, $E$13)</f>
        <v>5.6368999999999998</v>
      </c>
      <c r="F297" s="64">
        <f>5.6369 * CHOOSE(CONTROL!$C$22, $C$13, 100%, $E$13)</f>
        <v>5.6368999999999998</v>
      </c>
      <c r="G297" s="64">
        <f>5.6371 * CHOOSE(CONTROL!$C$22, $C$13, 100%, $E$13)</f>
        <v>5.6371000000000002</v>
      </c>
      <c r="H297" s="64">
        <f>10.1154* CHOOSE(CONTROL!$C$22, $C$13, 100%, $E$13)</f>
        <v>10.115399999999999</v>
      </c>
      <c r="I297" s="64">
        <f>10.1155 * CHOOSE(CONTROL!$C$22, $C$13, 100%, $E$13)</f>
        <v>10.115500000000001</v>
      </c>
      <c r="J297" s="64">
        <f>5.6369 * CHOOSE(CONTROL!$C$22, $C$13, 100%, $E$13)</f>
        <v>5.6368999999999998</v>
      </c>
      <c r="K297" s="64">
        <f>5.6371 * CHOOSE(CONTROL!$C$22, $C$13, 100%, $E$13)</f>
        <v>5.6371000000000002</v>
      </c>
    </row>
    <row r="298" spans="1:11" ht="15">
      <c r="A298" s="13">
        <v>50710</v>
      </c>
      <c r="B298" s="63">
        <f>4.9116 * CHOOSE(CONTROL!$C$22, $C$13, 100%, $E$13)</f>
        <v>4.9116</v>
      </c>
      <c r="C298" s="63">
        <f>4.9116 * CHOOSE(CONTROL!$C$22, $C$13, 100%, $E$13)</f>
        <v>4.9116</v>
      </c>
      <c r="D298" s="63">
        <f>4.9316 * CHOOSE(CONTROL!$C$22, $C$13, 100%, $E$13)</f>
        <v>4.9316000000000004</v>
      </c>
      <c r="E298" s="64">
        <f>5.6518 * CHOOSE(CONTROL!$C$22, $C$13, 100%, $E$13)</f>
        <v>5.6517999999999997</v>
      </c>
      <c r="F298" s="64">
        <f>5.6518 * CHOOSE(CONTROL!$C$22, $C$13, 100%, $E$13)</f>
        <v>5.6517999999999997</v>
      </c>
      <c r="G298" s="64">
        <f>5.652 * CHOOSE(CONTROL!$C$22, $C$13, 100%, $E$13)</f>
        <v>5.6520000000000001</v>
      </c>
      <c r="H298" s="64">
        <f>10.1364* CHOOSE(CONTROL!$C$22, $C$13, 100%, $E$13)</f>
        <v>10.1364</v>
      </c>
      <c r="I298" s="64">
        <f>10.1366 * CHOOSE(CONTROL!$C$22, $C$13, 100%, $E$13)</f>
        <v>10.1366</v>
      </c>
      <c r="J298" s="64">
        <f>5.6518 * CHOOSE(CONTROL!$C$22, $C$13, 100%, $E$13)</f>
        <v>5.6517999999999997</v>
      </c>
      <c r="K298" s="64">
        <f>5.652 * CHOOSE(CONTROL!$C$22, $C$13, 100%, $E$13)</f>
        <v>5.6520000000000001</v>
      </c>
    </row>
    <row r="299" spans="1:11" ht="15">
      <c r="A299" s="13">
        <v>50740</v>
      </c>
      <c r="B299" s="63">
        <f>4.9116 * CHOOSE(CONTROL!$C$22, $C$13, 100%, $E$13)</f>
        <v>4.9116</v>
      </c>
      <c r="C299" s="63">
        <f>4.9116 * CHOOSE(CONTROL!$C$22, $C$13, 100%, $E$13)</f>
        <v>4.9116</v>
      </c>
      <c r="D299" s="63">
        <f>4.9316 * CHOOSE(CONTROL!$C$22, $C$13, 100%, $E$13)</f>
        <v>4.9316000000000004</v>
      </c>
      <c r="E299" s="64">
        <f>5.6369 * CHOOSE(CONTROL!$C$22, $C$13, 100%, $E$13)</f>
        <v>5.6368999999999998</v>
      </c>
      <c r="F299" s="64">
        <f>5.6369 * CHOOSE(CONTROL!$C$22, $C$13, 100%, $E$13)</f>
        <v>5.6368999999999998</v>
      </c>
      <c r="G299" s="64">
        <f>5.6371 * CHOOSE(CONTROL!$C$22, $C$13, 100%, $E$13)</f>
        <v>5.6371000000000002</v>
      </c>
      <c r="H299" s="64">
        <f>10.1576* CHOOSE(CONTROL!$C$22, $C$13, 100%, $E$13)</f>
        <v>10.1576</v>
      </c>
      <c r="I299" s="64">
        <f>10.1577 * CHOOSE(CONTROL!$C$22, $C$13, 100%, $E$13)</f>
        <v>10.1577</v>
      </c>
      <c r="J299" s="64">
        <f>5.6369 * CHOOSE(CONTROL!$C$22, $C$13, 100%, $E$13)</f>
        <v>5.6368999999999998</v>
      </c>
      <c r="K299" s="64">
        <f>5.6371 * CHOOSE(CONTROL!$C$22, $C$13, 100%, $E$13)</f>
        <v>5.6371000000000002</v>
      </c>
    </row>
    <row r="300" spans="1:11" ht="15">
      <c r="A300" s="13">
        <v>50771</v>
      </c>
      <c r="B300" s="63">
        <f>4.9579 * CHOOSE(CONTROL!$C$22, $C$13, 100%, $E$13)</f>
        <v>4.9579000000000004</v>
      </c>
      <c r="C300" s="63">
        <f>4.9579 * CHOOSE(CONTROL!$C$22, $C$13, 100%, $E$13)</f>
        <v>4.9579000000000004</v>
      </c>
      <c r="D300" s="63">
        <f>4.9779 * CHOOSE(CONTROL!$C$22, $C$13, 100%, $E$13)</f>
        <v>4.9779</v>
      </c>
      <c r="E300" s="64">
        <f>5.6938 * CHOOSE(CONTROL!$C$22, $C$13, 100%, $E$13)</f>
        <v>5.6938000000000004</v>
      </c>
      <c r="F300" s="64">
        <f>5.6938 * CHOOSE(CONTROL!$C$22, $C$13, 100%, $E$13)</f>
        <v>5.6938000000000004</v>
      </c>
      <c r="G300" s="64">
        <f>5.6939 * CHOOSE(CONTROL!$C$22, $C$13, 100%, $E$13)</f>
        <v>5.6939000000000002</v>
      </c>
      <c r="H300" s="64">
        <f>10.1787* CHOOSE(CONTROL!$C$22, $C$13, 100%, $E$13)</f>
        <v>10.178699999999999</v>
      </c>
      <c r="I300" s="64">
        <f>10.1789 * CHOOSE(CONTROL!$C$22, $C$13, 100%, $E$13)</f>
        <v>10.178900000000001</v>
      </c>
      <c r="J300" s="64">
        <f>5.6938 * CHOOSE(CONTROL!$C$22, $C$13, 100%, $E$13)</f>
        <v>5.6938000000000004</v>
      </c>
      <c r="K300" s="64">
        <f>5.6939 * CHOOSE(CONTROL!$C$22, $C$13, 100%, $E$13)</f>
        <v>5.6939000000000002</v>
      </c>
    </row>
    <row r="301" spans="1:11" ht="15">
      <c r="A301" s="13">
        <v>50802</v>
      </c>
      <c r="B301" s="63">
        <f>4.9549 * CHOOSE(CONTROL!$C$22, $C$13, 100%, $E$13)</f>
        <v>4.9549000000000003</v>
      </c>
      <c r="C301" s="63">
        <f>4.9549 * CHOOSE(CONTROL!$C$22, $C$13, 100%, $E$13)</f>
        <v>4.9549000000000003</v>
      </c>
      <c r="D301" s="63">
        <f>4.9749 * CHOOSE(CONTROL!$C$22, $C$13, 100%, $E$13)</f>
        <v>4.9748999999999999</v>
      </c>
      <c r="E301" s="64">
        <f>5.6295 * CHOOSE(CONTROL!$C$22, $C$13, 100%, $E$13)</f>
        <v>5.6295000000000002</v>
      </c>
      <c r="F301" s="64">
        <f>5.6295 * CHOOSE(CONTROL!$C$22, $C$13, 100%, $E$13)</f>
        <v>5.6295000000000002</v>
      </c>
      <c r="G301" s="64">
        <f>5.6297 * CHOOSE(CONTROL!$C$22, $C$13, 100%, $E$13)</f>
        <v>5.6296999999999997</v>
      </c>
      <c r="H301" s="64">
        <f>10.1999* CHOOSE(CONTROL!$C$22, $C$13, 100%, $E$13)</f>
        <v>10.1999</v>
      </c>
      <c r="I301" s="64">
        <f>10.2001 * CHOOSE(CONTROL!$C$22, $C$13, 100%, $E$13)</f>
        <v>10.200100000000001</v>
      </c>
      <c r="J301" s="64">
        <f>5.6295 * CHOOSE(CONTROL!$C$22, $C$13, 100%, $E$13)</f>
        <v>5.6295000000000002</v>
      </c>
      <c r="K301" s="64">
        <f>5.6297 * CHOOSE(CONTROL!$C$22, $C$13, 100%, $E$13)</f>
        <v>5.6296999999999997</v>
      </c>
    </row>
    <row r="302" spans="1:11" ht="15">
      <c r="A302" s="13">
        <v>50830</v>
      </c>
      <c r="B302" s="63">
        <f>4.9518 * CHOOSE(CONTROL!$C$22, $C$13, 100%, $E$13)</f>
        <v>4.9518000000000004</v>
      </c>
      <c r="C302" s="63">
        <f>4.9518 * CHOOSE(CONTROL!$C$22, $C$13, 100%, $E$13)</f>
        <v>4.9518000000000004</v>
      </c>
      <c r="D302" s="63">
        <f>4.9718 * CHOOSE(CONTROL!$C$22, $C$13, 100%, $E$13)</f>
        <v>4.9718</v>
      </c>
      <c r="E302" s="64">
        <f>5.6764 * CHOOSE(CONTROL!$C$22, $C$13, 100%, $E$13)</f>
        <v>5.6764000000000001</v>
      </c>
      <c r="F302" s="64">
        <f>5.6764 * CHOOSE(CONTROL!$C$22, $C$13, 100%, $E$13)</f>
        <v>5.6764000000000001</v>
      </c>
      <c r="G302" s="64">
        <f>5.6766 * CHOOSE(CONTROL!$C$22, $C$13, 100%, $E$13)</f>
        <v>5.6765999999999996</v>
      </c>
      <c r="H302" s="64">
        <f>10.2212* CHOOSE(CONTROL!$C$22, $C$13, 100%, $E$13)</f>
        <v>10.2212</v>
      </c>
      <c r="I302" s="64">
        <f>10.2213 * CHOOSE(CONTROL!$C$22, $C$13, 100%, $E$13)</f>
        <v>10.221299999999999</v>
      </c>
      <c r="J302" s="64">
        <f>5.6764 * CHOOSE(CONTROL!$C$22, $C$13, 100%, $E$13)</f>
        <v>5.6764000000000001</v>
      </c>
      <c r="K302" s="64">
        <f>5.6766 * CHOOSE(CONTROL!$C$22, $C$13, 100%, $E$13)</f>
        <v>5.6765999999999996</v>
      </c>
    </row>
    <row r="303" spans="1:11" ht="15">
      <c r="A303" s="13">
        <v>50861</v>
      </c>
      <c r="B303" s="63">
        <f>4.9504 * CHOOSE(CONTROL!$C$22, $C$13, 100%, $E$13)</f>
        <v>4.9504000000000001</v>
      </c>
      <c r="C303" s="63">
        <f>4.9504 * CHOOSE(CONTROL!$C$22, $C$13, 100%, $E$13)</f>
        <v>4.9504000000000001</v>
      </c>
      <c r="D303" s="63">
        <f>4.9704 * CHOOSE(CONTROL!$C$22, $C$13, 100%, $E$13)</f>
        <v>4.9703999999999997</v>
      </c>
      <c r="E303" s="64">
        <f>5.7247 * CHOOSE(CONTROL!$C$22, $C$13, 100%, $E$13)</f>
        <v>5.7247000000000003</v>
      </c>
      <c r="F303" s="64">
        <f>5.7247 * CHOOSE(CONTROL!$C$22, $C$13, 100%, $E$13)</f>
        <v>5.7247000000000003</v>
      </c>
      <c r="G303" s="64">
        <f>5.7249 * CHOOSE(CONTROL!$C$22, $C$13, 100%, $E$13)</f>
        <v>5.7248999999999999</v>
      </c>
      <c r="H303" s="64">
        <f>10.2425* CHOOSE(CONTROL!$C$22, $C$13, 100%, $E$13)</f>
        <v>10.2425</v>
      </c>
      <c r="I303" s="64">
        <f>10.2426 * CHOOSE(CONTROL!$C$22, $C$13, 100%, $E$13)</f>
        <v>10.242599999999999</v>
      </c>
      <c r="J303" s="64">
        <f>5.7247 * CHOOSE(CONTROL!$C$22, $C$13, 100%, $E$13)</f>
        <v>5.7247000000000003</v>
      </c>
      <c r="K303" s="64">
        <f>5.7249 * CHOOSE(CONTROL!$C$22, $C$13, 100%, $E$13)</f>
        <v>5.7248999999999999</v>
      </c>
    </row>
    <row r="304" spans="1:11" ht="15">
      <c r="A304" s="13">
        <v>50891</v>
      </c>
      <c r="B304" s="63">
        <f>4.9504 * CHOOSE(CONTROL!$C$22, $C$13, 100%, $E$13)</f>
        <v>4.9504000000000001</v>
      </c>
      <c r="C304" s="63">
        <f>4.9504 * CHOOSE(CONTROL!$C$22, $C$13, 100%, $E$13)</f>
        <v>4.9504000000000001</v>
      </c>
      <c r="D304" s="63">
        <f>4.9903 * CHOOSE(CONTROL!$C$22, $C$13, 100%, $E$13)</f>
        <v>4.9903000000000004</v>
      </c>
      <c r="E304" s="64">
        <f>5.7445 * CHOOSE(CONTROL!$C$22, $C$13, 100%, $E$13)</f>
        <v>5.7445000000000004</v>
      </c>
      <c r="F304" s="64">
        <f>5.7445 * CHOOSE(CONTROL!$C$22, $C$13, 100%, $E$13)</f>
        <v>5.7445000000000004</v>
      </c>
      <c r="G304" s="64">
        <f>5.7469 * CHOOSE(CONTROL!$C$22, $C$13, 100%, $E$13)</f>
        <v>5.7469000000000001</v>
      </c>
      <c r="H304" s="64">
        <f>10.2638* CHOOSE(CONTROL!$C$22, $C$13, 100%, $E$13)</f>
        <v>10.2638</v>
      </c>
      <c r="I304" s="64">
        <f>10.2662 * CHOOSE(CONTROL!$C$22, $C$13, 100%, $E$13)</f>
        <v>10.2662</v>
      </c>
      <c r="J304" s="64">
        <f>5.7445 * CHOOSE(CONTROL!$C$22, $C$13, 100%, $E$13)</f>
        <v>5.7445000000000004</v>
      </c>
      <c r="K304" s="64">
        <f>5.7469 * CHOOSE(CONTROL!$C$22, $C$13, 100%, $E$13)</f>
        <v>5.7469000000000001</v>
      </c>
    </row>
    <row r="305" spans="1:11" ht="15">
      <c r="A305" s="13">
        <v>50922</v>
      </c>
      <c r="B305" s="63">
        <f>4.9565 * CHOOSE(CONTROL!$C$22, $C$13, 100%, $E$13)</f>
        <v>4.9565000000000001</v>
      </c>
      <c r="C305" s="63">
        <f>4.9565 * CHOOSE(CONTROL!$C$22, $C$13, 100%, $E$13)</f>
        <v>4.9565000000000001</v>
      </c>
      <c r="D305" s="63">
        <f>4.9964 * CHOOSE(CONTROL!$C$22, $C$13, 100%, $E$13)</f>
        <v>4.9964000000000004</v>
      </c>
      <c r="E305" s="64">
        <f>5.729 * CHOOSE(CONTROL!$C$22, $C$13, 100%, $E$13)</f>
        <v>5.7290000000000001</v>
      </c>
      <c r="F305" s="64">
        <f>5.729 * CHOOSE(CONTROL!$C$22, $C$13, 100%, $E$13)</f>
        <v>5.7290000000000001</v>
      </c>
      <c r="G305" s="64">
        <f>5.7314 * CHOOSE(CONTROL!$C$22, $C$13, 100%, $E$13)</f>
        <v>5.7313999999999998</v>
      </c>
      <c r="H305" s="64">
        <f>10.2852* CHOOSE(CONTROL!$C$22, $C$13, 100%, $E$13)</f>
        <v>10.2852</v>
      </c>
      <c r="I305" s="64">
        <f>10.2876 * CHOOSE(CONTROL!$C$22, $C$13, 100%, $E$13)</f>
        <v>10.287599999999999</v>
      </c>
      <c r="J305" s="64">
        <f>5.729 * CHOOSE(CONTROL!$C$22, $C$13, 100%, $E$13)</f>
        <v>5.7290000000000001</v>
      </c>
      <c r="K305" s="64">
        <f>5.7314 * CHOOSE(CONTROL!$C$22, $C$13, 100%, $E$13)</f>
        <v>5.7313999999999998</v>
      </c>
    </row>
    <row r="306" spans="1:11" ht="15">
      <c r="A306" s="13">
        <v>50952</v>
      </c>
      <c r="B306" s="63">
        <f>5.043 * CHOOSE(CONTROL!$C$22, $C$13, 100%, $E$13)</f>
        <v>5.0430000000000001</v>
      </c>
      <c r="C306" s="63">
        <f>5.043 * CHOOSE(CONTROL!$C$22, $C$13, 100%, $E$13)</f>
        <v>5.0430000000000001</v>
      </c>
      <c r="D306" s="63">
        <f>5.083 * CHOOSE(CONTROL!$C$22, $C$13, 100%, $E$13)</f>
        <v>5.0830000000000002</v>
      </c>
      <c r="E306" s="64">
        <f>5.8439 * CHOOSE(CONTROL!$C$22, $C$13, 100%, $E$13)</f>
        <v>5.8438999999999997</v>
      </c>
      <c r="F306" s="64">
        <f>5.8439 * CHOOSE(CONTROL!$C$22, $C$13, 100%, $E$13)</f>
        <v>5.8438999999999997</v>
      </c>
      <c r="G306" s="64">
        <f>5.8464 * CHOOSE(CONTROL!$C$22, $C$13, 100%, $E$13)</f>
        <v>5.8464</v>
      </c>
      <c r="H306" s="64">
        <f>10.3066* CHOOSE(CONTROL!$C$22, $C$13, 100%, $E$13)</f>
        <v>10.3066</v>
      </c>
      <c r="I306" s="64">
        <f>10.3091 * CHOOSE(CONTROL!$C$22, $C$13, 100%, $E$13)</f>
        <v>10.309100000000001</v>
      </c>
      <c r="J306" s="64">
        <f>5.8439 * CHOOSE(CONTROL!$C$22, $C$13, 100%, $E$13)</f>
        <v>5.8438999999999997</v>
      </c>
      <c r="K306" s="64">
        <f>5.8464 * CHOOSE(CONTROL!$C$22, $C$13, 100%, $E$13)</f>
        <v>5.8464</v>
      </c>
    </row>
    <row r="307" spans="1:11" ht="15">
      <c r="A307" s="13">
        <v>50983</v>
      </c>
      <c r="B307" s="63">
        <f>5.0497 * CHOOSE(CONTROL!$C$22, $C$13, 100%, $E$13)</f>
        <v>5.0496999999999996</v>
      </c>
      <c r="C307" s="63">
        <f>5.0497 * CHOOSE(CONTROL!$C$22, $C$13, 100%, $E$13)</f>
        <v>5.0496999999999996</v>
      </c>
      <c r="D307" s="63">
        <f>5.0897 * CHOOSE(CONTROL!$C$22, $C$13, 100%, $E$13)</f>
        <v>5.0896999999999997</v>
      </c>
      <c r="E307" s="64">
        <f>5.7894 * CHOOSE(CONTROL!$C$22, $C$13, 100%, $E$13)</f>
        <v>5.7893999999999997</v>
      </c>
      <c r="F307" s="64">
        <f>5.7894 * CHOOSE(CONTROL!$C$22, $C$13, 100%, $E$13)</f>
        <v>5.7893999999999997</v>
      </c>
      <c r="G307" s="64">
        <f>5.7919 * CHOOSE(CONTROL!$C$22, $C$13, 100%, $E$13)</f>
        <v>5.7919</v>
      </c>
      <c r="H307" s="64">
        <f>10.3281* CHOOSE(CONTROL!$C$22, $C$13, 100%, $E$13)</f>
        <v>10.328099999999999</v>
      </c>
      <c r="I307" s="64">
        <f>10.3305 * CHOOSE(CONTROL!$C$22, $C$13, 100%, $E$13)</f>
        <v>10.330500000000001</v>
      </c>
      <c r="J307" s="64">
        <f>5.7894 * CHOOSE(CONTROL!$C$22, $C$13, 100%, $E$13)</f>
        <v>5.7893999999999997</v>
      </c>
      <c r="K307" s="64">
        <f>5.7919 * CHOOSE(CONTROL!$C$22, $C$13, 100%, $E$13)</f>
        <v>5.7919</v>
      </c>
    </row>
    <row r="308" spans="1:11" ht="15">
      <c r="A308" s="13">
        <v>51014</v>
      </c>
      <c r="B308" s="63">
        <f>5.0467 * CHOOSE(CONTROL!$C$22, $C$13, 100%, $E$13)</f>
        <v>5.0467000000000004</v>
      </c>
      <c r="C308" s="63">
        <f>5.0467 * CHOOSE(CONTROL!$C$22, $C$13, 100%, $E$13)</f>
        <v>5.0467000000000004</v>
      </c>
      <c r="D308" s="63">
        <f>5.0866 * CHOOSE(CONTROL!$C$22, $C$13, 100%, $E$13)</f>
        <v>5.0865999999999998</v>
      </c>
      <c r="E308" s="64">
        <f>5.7807 * CHOOSE(CONTROL!$C$22, $C$13, 100%, $E$13)</f>
        <v>5.7807000000000004</v>
      </c>
      <c r="F308" s="64">
        <f>5.7807 * CHOOSE(CONTROL!$C$22, $C$13, 100%, $E$13)</f>
        <v>5.7807000000000004</v>
      </c>
      <c r="G308" s="64">
        <f>5.7832 * CHOOSE(CONTROL!$C$22, $C$13, 100%, $E$13)</f>
        <v>5.7831999999999999</v>
      </c>
      <c r="H308" s="64">
        <f>10.3496* CHOOSE(CONTROL!$C$22, $C$13, 100%, $E$13)</f>
        <v>10.349600000000001</v>
      </c>
      <c r="I308" s="64">
        <f>10.352 * CHOOSE(CONTROL!$C$22, $C$13, 100%, $E$13)</f>
        <v>10.352</v>
      </c>
      <c r="J308" s="64">
        <f>5.7807 * CHOOSE(CONTROL!$C$22, $C$13, 100%, $E$13)</f>
        <v>5.7807000000000004</v>
      </c>
      <c r="K308" s="64">
        <f>5.7832 * CHOOSE(CONTROL!$C$22, $C$13, 100%, $E$13)</f>
        <v>5.7831999999999999</v>
      </c>
    </row>
    <row r="309" spans="1:11" ht="15">
      <c r="A309" s="13">
        <v>51044</v>
      </c>
      <c r="B309" s="63">
        <f>5.0455 * CHOOSE(CONTROL!$C$22, $C$13, 100%, $E$13)</f>
        <v>5.0454999999999997</v>
      </c>
      <c r="C309" s="63">
        <f>5.0455 * CHOOSE(CONTROL!$C$22, $C$13, 100%, $E$13)</f>
        <v>5.0454999999999997</v>
      </c>
      <c r="D309" s="63">
        <f>5.0654 * CHOOSE(CONTROL!$C$22, $C$13, 100%, $E$13)</f>
        <v>5.0654000000000003</v>
      </c>
      <c r="E309" s="64">
        <f>5.7936 * CHOOSE(CONTROL!$C$22, $C$13, 100%, $E$13)</f>
        <v>5.7935999999999996</v>
      </c>
      <c r="F309" s="64">
        <f>5.7936 * CHOOSE(CONTROL!$C$22, $C$13, 100%, $E$13)</f>
        <v>5.7935999999999996</v>
      </c>
      <c r="G309" s="64">
        <f>5.7938 * CHOOSE(CONTROL!$C$22, $C$13, 100%, $E$13)</f>
        <v>5.7938000000000001</v>
      </c>
      <c r="H309" s="64">
        <f>10.3712* CHOOSE(CONTROL!$C$22, $C$13, 100%, $E$13)</f>
        <v>10.3712</v>
      </c>
      <c r="I309" s="64">
        <f>10.3713 * CHOOSE(CONTROL!$C$22, $C$13, 100%, $E$13)</f>
        <v>10.3713</v>
      </c>
      <c r="J309" s="64">
        <f>5.7936 * CHOOSE(CONTROL!$C$22, $C$13, 100%, $E$13)</f>
        <v>5.7935999999999996</v>
      </c>
      <c r="K309" s="64">
        <f>5.7938 * CHOOSE(CONTROL!$C$22, $C$13, 100%, $E$13)</f>
        <v>5.7938000000000001</v>
      </c>
    </row>
    <row r="310" spans="1:11" ht="15">
      <c r="A310" s="13">
        <v>51075</v>
      </c>
      <c r="B310" s="63">
        <f>5.0485 * CHOOSE(CONTROL!$C$22, $C$13, 100%, $E$13)</f>
        <v>5.0484999999999998</v>
      </c>
      <c r="C310" s="63">
        <f>5.0485 * CHOOSE(CONTROL!$C$22, $C$13, 100%, $E$13)</f>
        <v>5.0484999999999998</v>
      </c>
      <c r="D310" s="63">
        <f>5.0685 * CHOOSE(CONTROL!$C$22, $C$13, 100%, $E$13)</f>
        <v>5.0685000000000002</v>
      </c>
      <c r="E310" s="64">
        <f>5.8089 * CHOOSE(CONTROL!$C$22, $C$13, 100%, $E$13)</f>
        <v>5.8089000000000004</v>
      </c>
      <c r="F310" s="64">
        <f>5.8089 * CHOOSE(CONTROL!$C$22, $C$13, 100%, $E$13)</f>
        <v>5.8089000000000004</v>
      </c>
      <c r="G310" s="64">
        <f>5.809 * CHOOSE(CONTROL!$C$22, $C$13, 100%, $E$13)</f>
        <v>5.8090000000000002</v>
      </c>
      <c r="H310" s="64">
        <f>10.3928* CHOOSE(CONTROL!$C$22, $C$13, 100%, $E$13)</f>
        <v>10.392799999999999</v>
      </c>
      <c r="I310" s="64">
        <f>10.3929 * CHOOSE(CONTROL!$C$22, $C$13, 100%, $E$13)</f>
        <v>10.392899999999999</v>
      </c>
      <c r="J310" s="64">
        <f>5.8089 * CHOOSE(CONTROL!$C$22, $C$13, 100%, $E$13)</f>
        <v>5.8089000000000004</v>
      </c>
      <c r="K310" s="64">
        <f>5.809 * CHOOSE(CONTROL!$C$22, $C$13, 100%, $E$13)</f>
        <v>5.8090000000000002</v>
      </c>
    </row>
    <row r="311" spans="1:11" ht="15">
      <c r="A311" s="13">
        <v>51105</v>
      </c>
      <c r="B311" s="63">
        <f>5.0485 * CHOOSE(CONTROL!$C$22, $C$13, 100%, $E$13)</f>
        <v>5.0484999999999998</v>
      </c>
      <c r="C311" s="63">
        <f>5.0485 * CHOOSE(CONTROL!$C$22, $C$13, 100%, $E$13)</f>
        <v>5.0484999999999998</v>
      </c>
      <c r="D311" s="63">
        <f>5.0685 * CHOOSE(CONTROL!$C$22, $C$13, 100%, $E$13)</f>
        <v>5.0685000000000002</v>
      </c>
      <c r="E311" s="64">
        <f>5.776 * CHOOSE(CONTROL!$C$22, $C$13, 100%, $E$13)</f>
        <v>5.7759999999999998</v>
      </c>
      <c r="F311" s="64">
        <f>5.776 * CHOOSE(CONTROL!$C$22, $C$13, 100%, $E$13)</f>
        <v>5.7759999999999998</v>
      </c>
      <c r="G311" s="64">
        <f>5.7762 * CHOOSE(CONTROL!$C$22, $C$13, 100%, $E$13)</f>
        <v>5.7762000000000002</v>
      </c>
      <c r="H311" s="64">
        <f>10.4144* CHOOSE(CONTROL!$C$22, $C$13, 100%, $E$13)</f>
        <v>10.414400000000001</v>
      </c>
      <c r="I311" s="64">
        <f>10.4146 * CHOOSE(CONTROL!$C$22, $C$13, 100%, $E$13)</f>
        <v>10.4146</v>
      </c>
      <c r="J311" s="64">
        <f>5.776 * CHOOSE(CONTROL!$C$22, $C$13, 100%, $E$13)</f>
        <v>5.7759999999999998</v>
      </c>
      <c r="K311" s="64">
        <f>5.7762 * CHOOSE(CONTROL!$C$22, $C$13, 100%, $E$13)</f>
        <v>5.7762000000000002</v>
      </c>
    </row>
    <row r="312" spans="1:11" ht="15">
      <c r="A312" s="13">
        <v>51136</v>
      </c>
      <c r="B312" s="63">
        <f>5.0944 * CHOOSE(CONTROL!$C$22, $C$13, 100%, $E$13)</f>
        <v>5.0944000000000003</v>
      </c>
      <c r="C312" s="63">
        <f>5.0944 * CHOOSE(CONTROL!$C$22, $C$13, 100%, $E$13)</f>
        <v>5.0944000000000003</v>
      </c>
      <c r="D312" s="63">
        <f>5.1143 * CHOOSE(CONTROL!$C$22, $C$13, 100%, $E$13)</f>
        <v>5.1143000000000001</v>
      </c>
      <c r="E312" s="64">
        <f>5.8526 * CHOOSE(CONTROL!$C$22, $C$13, 100%, $E$13)</f>
        <v>5.8525999999999998</v>
      </c>
      <c r="F312" s="64">
        <f>5.8526 * CHOOSE(CONTROL!$C$22, $C$13, 100%, $E$13)</f>
        <v>5.8525999999999998</v>
      </c>
      <c r="G312" s="64">
        <f>5.8528 * CHOOSE(CONTROL!$C$22, $C$13, 100%, $E$13)</f>
        <v>5.8528000000000002</v>
      </c>
      <c r="H312" s="64">
        <f>10.4361* CHOOSE(CONTROL!$C$22, $C$13, 100%, $E$13)</f>
        <v>10.4361</v>
      </c>
      <c r="I312" s="64">
        <f>10.4363 * CHOOSE(CONTROL!$C$22, $C$13, 100%, $E$13)</f>
        <v>10.436299999999999</v>
      </c>
      <c r="J312" s="64">
        <f>5.8526 * CHOOSE(CONTROL!$C$22, $C$13, 100%, $E$13)</f>
        <v>5.8525999999999998</v>
      </c>
      <c r="K312" s="64">
        <f>5.8528 * CHOOSE(CONTROL!$C$22, $C$13, 100%, $E$13)</f>
        <v>5.8528000000000002</v>
      </c>
    </row>
    <row r="313" spans="1:11" ht="15">
      <c r="A313" s="13">
        <v>51167</v>
      </c>
      <c r="B313" s="63">
        <f>5.0913 * CHOOSE(CONTROL!$C$22, $C$13, 100%, $E$13)</f>
        <v>5.0913000000000004</v>
      </c>
      <c r="C313" s="63">
        <f>5.0913 * CHOOSE(CONTROL!$C$22, $C$13, 100%, $E$13)</f>
        <v>5.0913000000000004</v>
      </c>
      <c r="D313" s="63">
        <f>5.1113 * CHOOSE(CONTROL!$C$22, $C$13, 100%, $E$13)</f>
        <v>5.1113</v>
      </c>
      <c r="E313" s="64">
        <f>5.7866 * CHOOSE(CONTROL!$C$22, $C$13, 100%, $E$13)</f>
        <v>5.7866</v>
      </c>
      <c r="F313" s="64">
        <f>5.7866 * CHOOSE(CONTROL!$C$22, $C$13, 100%, $E$13)</f>
        <v>5.7866</v>
      </c>
      <c r="G313" s="64">
        <f>5.7868 * CHOOSE(CONTROL!$C$22, $C$13, 100%, $E$13)</f>
        <v>5.7868000000000004</v>
      </c>
      <c r="H313" s="64">
        <f>10.4579* CHOOSE(CONTROL!$C$22, $C$13, 100%, $E$13)</f>
        <v>10.4579</v>
      </c>
      <c r="I313" s="64">
        <f>10.458 * CHOOSE(CONTROL!$C$22, $C$13, 100%, $E$13)</f>
        <v>10.458</v>
      </c>
      <c r="J313" s="64">
        <f>5.7866 * CHOOSE(CONTROL!$C$22, $C$13, 100%, $E$13)</f>
        <v>5.7866</v>
      </c>
      <c r="K313" s="64">
        <f>5.7868 * CHOOSE(CONTROL!$C$22, $C$13, 100%, $E$13)</f>
        <v>5.7868000000000004</v>
      </c>
    </row>
    <row r="314" spans="1:11" ht="15">
      <c r="A314" s="13">
        <v>51196</v>
      </c>
      <c r="B314" s="63">
        <f>5.0883 * CHOOSE(CONTROL!$C$22, $C$13, 100%, $E$13)</f>
        <v>5.0883000000000003</v>
      </c>
      <c r="C314" s="63">
        <f>5.0883 * CHOOSE(CONTROL!$C$22, $C$13, 100%, $E$13)</f>
        <v>5.0883000000000003</v>
      </c>
      <c r="D314" s="63">
        <f>5.1083 * CHOOSE(CONTROL!$C$22, $C$13, 100%, $E$13)</f>
        <v>5.1082999999999998</v>
      </c>
      <c r="E314" s="64">
        <f>5.8349 * CHOOSE(CONTROL!$C$22, $C$13, 100%, $E$13)</f>
        <v>5.8349000000000002</v>
      </c>
      <c r="F314" s="64">
        <f>5.8349 * CHOOSE(CONTROL!$C$22, $C$13, 100%, $E$13)</f>
        <v>5.8349000000000002</v>
      </c>
      <c r="G314" s="64">
        <f>5.835 * CHOOSE(CONTROL!$C$22, $C$13, 100%, $E$13)</f>
        <v>5.835</v>
      </c>
      <c r="H314" s="64">
        <f>10.4796* CHOOSE(CONTROL!$C$22, $C$13, 100%, $E$13)</f>
        <v>10.4796</v>
      </c>
      <c r="I314" s="64">
        <f>10.4798 * CHOOSE(CONTROL!$C$22, $C$13, 100%, $E$13)</f>
        <v>10.479799999999999</v>
      </c>
      <c r="J314" s="64">
        <f>5.8349 * CHOOSE(CONTROL!$C$22, $C$13, 100%, $E$13)</f>
        <v>5.8349000000000002</v>
      </c>
      <c r="K314" s="64">
        <f>5.835 * CHOOSE(CONTROL!$C$22, $C$13, 100%, $E$13)</f>
        <v>5.835</v>
      </c>
    </row>
    <row r="315" spans="1:11" ht="15">
      <c r="A315" s="13">
        <v>51227</v>
      </c>
      <c r="B315" s="63">
        <f>5.0869 * CHOOSE(CONTROL!$C$22, $C$13, 100%, $E$13)</f>
        <v>5.0869</v>
      </c>
      <c r="C315" s="63">
        <f>5.0869 * CHOOSE(CONTROL!$C$22, $C$13, 100%, $E$13)</f>
        <v>5.0869</v>
      </c>
      <c r="D315" s="63">
        <f>5.1069 * CHOOSE(CONTROL!$C$22, $C$13, 100%, $E$13)</f>
        <v>5.1069000000000004</v>
      </c>
      <c r="E315" s="64">
        <f>5.8847 * CHOOSE(CONTROL!$C$22, $C$13, 100%, $E$13)</f>
        <v>5.8846999999999996</v>
      </c>
      <c r="F315" s="64">
        <f>5.8847 * CHOOSE(CONTROL!$C$22, $C$13, 100%, $E$13)</f>
        <v>5.8846999999999996</v>
      </c>
      <c r="G315" s="64">
        <f>5.8849 * CHOOSE(CONTROL!$C$22, $C$13, 100%, $E$13)</f>
        <v>5.8849</v>
      </c>
      <c r="H315" s="64">
        <f>10.5015* CHOOSE(CONTROL!$C$22, $C$13, 100%, $E$13)</f>
        <v>10.5015</v>
      </c>
      <c r="I315" s="64">
        <f>10.5017 * CHOOSE(CONTROL!$C$22, $C$13, 100%, $E$13)</f>
        <v>10.5017</v>
      </c>
      <c r="J315" s="64">
        <f>5.8847 * CHOOSE(CONTROL!$C$22, $C$13, 100%, $E$13)</f>
        <v>5.8846999999999996</v>
      </c>
      <c r="K315" s="64">
        <f>5.8849 * CHOOSE(CONTROL!$C$22, $C$13, 100%, $E$13)</f>
        <v>5.8849</v>
      </c>
    </row>
    <row r="316" spans="1:11" ht="15">
      <c r="A316" s="13">
        <v>51257</v>
      </c>
      <c r="B316" s="63">
        <f>5.0869 * CHOOSE(CONTROL!$C$22, $C$13, 100%, $E$13)</f>
        <v>5.0869</v>
      </c>
      <c r="C316" s="63">
        <f>5.0869 * CHOOSE(CONTROL!$C$22, $C$13, 100%, $E$13)</f>
        <v>5.0869</v>
      </c>
      <c r="D316" s="63">
        <f>5.1269 * CHOOSE(CONTROL!$C$22, $C$13, 100%, $E$13)</f>
        <v>5.1269</v>
      </c>
      <c r="E316" s="64">
        <f>5.905 * CHOOSE(CONTROL!$C$22, $C$13, 100%, $E$13)</f>
        <v>5.9050000000000002</v>
      </c>
      <c r="F316" s="64">
        <f>5.905 * CHOOSE(CONTROL!$C$22, $C$13, 100%, $E$13)</f>
        <v>5.9050000000000002</v>
      </c>
      <c r="G316" s="64">
        <f>5.9074 * CHOOSE(CONTROL!$C$22, $C$13, 100%, $E$13)</f>
        <v>5.9074</v>
      </c>
      <c r="H316" s="64">
        <f>10.5234* CHOOSE(CONTROL!$C$22, $C$13, 100%, $E$13)</f>
        <v>10.523400000000001</v>
      </c>
      <c r="I316" s="64">
        <f>10.5258 * CHOOSE(CONTROL!$C$22, $C$13, 100%, $E$13)</f>
        <v>10.5258</v>
      </c>
      <c r="J316" s="64">
        <f>5.905 * CHOOSE(CONTROL!$C$22, $C$13, 100%, $E$13)</f>
        <v>5.9050000000000002</v>
      </c>
      <c r="K316" s="64">
        <f>5.9074 * CHOOSE(CONTROL!$C$22, $C$13, 100%, $E$13)</f>
        <v>5.9074</v>
      </c>
    </row>
    <row r="317" spans="1:11" ht="15">
      <c r="A317" s="13">
        <v>51288</v>
      </c>
      <c r="B317" s="63">
        <f>5.093 * CHOOSE(CONTROL!$C$22, $C$13, 100%, $E$13)</f>
        <v>5.093</v>
      </c>
      <c r="C317" s="63">
        <f>5.093 * CHOOSE(CONTROL!$C$22, $C$13, 100%, $E$13)</f>
        <v>5.093</v>
      </c>
      <c r="D317" s="63">
        <f>5.133 * CHOOSE(CONTROL!$C$22, $C$13, 100%, $E$13)</f>
        <v>5.133</v>
      </c>
      <c r="E317" s="64">
        <f>5.889 * CHOOSE(CONTROL!$C$22, $C$13, 100%, $E$13)</f>
        <v>5.8890000000000002</v>
      </c>
      <c r="F317" s="64">
        <f>5.889 * CHOOSE(CONTROL!$C$22, $C$13, 100%, $E$13)</f>
        <v>5.8890000000000002</v>
      </c>
      <c r="G317" s="64">
        <f>5.8914 * CHOOSE(CONTROL!$C$22, $C$13, 100%, $E$13)</f>
        <v>5.8914</v>
      </c>
      <c r="H317" s="64">
        <f>10.5453* CHOOSE(CONTROL!$C$22, $C$13, 100%, $E$13)</f>
        <v>10.545299999999999</v>
      </c>
      <c r="I317" s="64">
        <f>10.5477 * CHOOSE(CONTROL!$C$22, $C$13, 100%, $E$13)</f>
        <v>10.547700000000001</v>
      </c>
      <c r="J317" s="64">
        <f>5.889 * CHOOSE(CONTROL!$C$22, $C$13, 100%, $E$13)</f>
        <v>5.8890000000000002</v>
      </c>
      <c r="K317" s="64">
        <f>5.8914 * CHOOSE(CONTROL!$C$22, $C$13, 100%, $E$13)</f>
        <v>5.8914</v>
      </c>
    </row>
    <row r="318" spans="1:11" ht="15">
      <c r="A318" s="13">
        <v>51318</v>
      </c>
      <c r="B318" s="63">
        <f>5.1785 * CHOOSE(CONTROL!$C$22, $C$13, 100%, $E$13)</f>
        <v>5.1784999999999997</v>
      </c>
      <c r="C318" s="63">
        <f>5.1785 * CHOOSE(CONTROL!$C$22, $C$13, 100%, $E$13)</f>
        <v>5.1784999999999997</v>
      </c>
      <c r="D318" s="63">
        <f>5.2185 * CHOOSE(CONTROL!$C$22, $C$13, 100%, $E$13)</f>
        <v>5.2184999999999997</v>
      </c>
      <c r="E318" s="64">
        <f>6.0078 * CHOOSE(CONTROL!$C$22, $C$13, 100%, $E$13)</f>
        <v>6.0077999999999996</v>
      </c>
      <c r="F318" s="64">
        <f>6.0078 * CHOOSE(CONTROL!$C$22, $C$13, 100%, $E$13)</f>
        <v>6.0077999999999996</v>
      </c>
      <c r="G318" s="64">
        <f>6.0102 * CHOOSE(CONTROL!$C$22, $C$13, 100%, $E$13)</f>
        <v>6.0102000000000002</v>
      </c>
      <c r="H318" s="64">
        <f>10.5673* CHOOSE(CONTROL!$C$22, $C$13, 100%, $E$13)</f>
        <v>10.567299999999999</v>
      </c>
      <c r="I318" s="64">
        <f>10.5697 * CHOOSE(CONTROL!$C$22, $C$13, 100%, $E$13)</f>
        <v>10.569699999999999</v>
      </c>
      <c r="J318" s="64">
        <f>6.0078 * CHOOSE(CONTROL!$C$22, $C$13, 100%, $E$13)</f>
        <v>6.0077999999999996</v>
      </c>
      <c r="K318" s="64">
        <f>6.0102 * CHOOSE(CONTROL!$C$22, $C$13, 100%, $E$13)</f>
        <v>6.0102000000000002</v>
      </c>
    </row>
    <row r="319" spans="1:11" ht="15">
      <c r="A319" s="13">
        <v>51349</v>
      </c>
      <c r="B319" s="63">
        <f>5.1852 * CHOOSE(CONTROL!$C$22, $C$13, 100%, $E$13)</f>
        <v>5.1852</v>
      </c>
      <c r="C319" s="63">
        <f>5.1852 * CHOOSE(CONTROL!$C$22, $C$13, 100%, $E$13)</f>
        <v>5.1852</v>
      </c>
      <c r="D319" s="63">
        <f>5.2252 * CHOOSE(CONTROL!$C$22, $C$13, 100%, $E$13)</f>
        <v>5.2252000000000001</v>
      </c>
      <c r="E319" s="64">
        <f>5.9516 * CHOOSE(CONTROL!$C$22, $C$13, 100%, $E$13)</f>
        <v>5.9516</v>
      </c>
      <c r="F319" s="64">
        <f>5.9516 * CHOOSE(CONTROL!$C$22, $C$13, 100%, $E$13)</f>
        <v>5.9516</v>
      </c>
      <c r="G319" s="64">
        <f>5.954 * CHOOSE(CONTROL!$C$22, $C$13, 100%, $E$13)</f>
        <v>5.9539999999999997</v>
      </c>
      <c r="H319" s="64">
        <f>10.5893* CHOOSE(CONTROL!$C$22, $C$13, 100%, $E$13)</f>
        <v>10.5893</v>
      </c>
      <c r="I319" s="64">
        <f>10.5917 * CHOOSE(CONTROL!$C$22, $C$13, 100%, $E$13)</f>
        <v>10.591699999999999</v>
      </c>
      <c r="J319" s="64">
        <f>5.9516 * CHOOSE(CONTROL!$C$22, $C$13, 100%, $E$13)</f>
        <v>5.9516</v>
      </c>
      <c r="K319" s="64">
        <f>5.954 * CHOOSE(CONTROL!$C$22, $C$13, 100%, $E$13)</f>
        <v>5.9539999999999997</v>
      </c>
    </row>
    <row r="320" spans="1:11" ht="15">
      <c r="A320" s="13">
        <v>51380</v>
      </c>
      <c r="B320" s="63">
        <f>5.1822 * CHOOSE(CONTROL!$C$22, $C$13, 100%, $E$13)</f>
        <v>5.1821999999999999</v>
      </c>
      <c r="C320" s="63">
        <f>5.1822 * CHOOSE(CONTROL!$C$22, $C$13, 100%, $E$13)</f>
        <v>5.1821999999999999</v>
      </c>
      <c r="D320" s="63">
        <f>5.2221 * CHOOSE(CONTROL!$C$22, $C$13, 100%, $E$13)</f>
        <v>5.2221000000000002</v>
      </c>
      <c r="E320" s="64">
        <f>5.9427 * CHOOSE(CONTROL!$C$22, $C$13, 100%, $E$13)</f>
        <v>5.9427000000000003</v>
      </c>
      <c r="F320" s="64">
        <f>5.9427 * CHOOSE(CONTROL!$C$22, $C$13, 100%, $E$13)</f>
        <v>5.9427000000000003</v>
      </c>
      <c r="G320" s="64">
        <f>5.9452 * CHOOSE(CONTROL!$C$22, $C$13, 100%, $E$13)</f>
        <v>5.9451999999999998</v>
      </c>
      <c r="H320" s="64">
        <f>10.6113* CHOOSE(CONTROL!$C$22, $C$13, 100%, $E$13)</f>
        <v>10.6113</v>
      </c>
      <c r="I320" s="64">
        <f>10.6138 * CHOOSE(CONTROL!$C$22, $C$13, 100%, $E$13)</f>
        <v>10.613799999999999</v>
      </c>
      <c r="J320" s="64">
        <f>5.9427 * CHOOSE(CONTROL!$C$22, $C$13, 100%, $E$13)</f>
        <v>5.9427000000000003</v>
      </c>
      <c r="K320" s="64">
        <f>5.9452 * CHOOSE(CONTROL!$C$22, $C$13, 100%, $E$13)</f>
        <v>5.9451999999999998</v>
      </c>
    </row>
    <row r="321" spans="1:11" ht="15">
      <c r="A321" s="13">
        <v>51410</v>
      </c>
      <c r="B321" s="63">
        <f>5.1814 * CHOOSE(CONTROL!$C$22, $C$13, 100%, $E$13)</f>
        <v>5.1814</v>
      </c>
      <c r="C321" s="63">
        <f>5.1814 * CHOOSE(CONTROL!$C$22, $C$13, 100%, $E$13)</f>
        <v>5.1814</v>
      </c>
      <c r="D321" s="63">
        <f>5.2014 * CHOOSE(CONTROL!$C$22, $C$13, 100%, $E$13)</f>
        <v>5.2013999999999996</v>
      </c>
      <c r="E321" s="64">
        <f>5.9563 * CHOOSE(CONTROL!$C$22, $C$13, 100%, $E$13)</f>
        <v>5.9562999999999997</v>
      </c>
      <c r="F321" s="64">
        <f>5.9563 * CHOOSE(CONTROL!$C$22, $C$13, 100%, $E$13)</f>
        <v>5.9562999999999997</v>
      </c>
      <c r="G321" s="64">
        <f>5.9565 * CHOOSE(CONTROL!$C$22, $C$13, 100%, $E$13)</f>
        <v>5.9565000000000001</v>
      </c>
      <c r="H321" s="64">
        <f>10.6334* CHOOSE(CONTROL!$C$22, $C$13, 100%, $E$13)</f>
        <v>10.6334</v>
      </c>
      <c r="I321" s="64">
        <f>10.6336 * CHOOSE(CONTROL!$C$22, $C$13, 100%, $E$13)</f>
        <v>10.633599999999999</v>
      </c>
      <c r="J321" s="64">
        <f>5.9563 * CHOOSE(CONTROL!$C$22, $C$13, 100%, $E$13)</f>
        <v>5.9562999999999997</v>
      </c>
      <c r="K321" s="64">
        <f>5.9565 * CHOOSE(CONTROL!$C$22, $C$13, 100%, $E$13)</f>
        <v>5.9565000000000001</v>
      </c>
    </row>
    <row r="322" spans="1:11" ht="15">
      <c r="A322" s="13">
        <v>51441</v>
      </c>
      <c r="B322" s="63">
        <f>5.1845 * CHOOSE(CONTROL!$C$22, $C$13, 100%, $E$13)</f>
        <v>5.1844999999999999</v>
      </c>
      <c r="C322" s="63">
        <f>5.1845 * CHOOSE(CONTROL!$C$22, $C$13, 100%, $E$13)</f>
        <v>5.1844999999999999</v>
      </c>
      <c r="D322" s="63">
        <f>5.2044 * CHOOSE(CONTROL!$C$22, $C$13, 100%, $E$13)</f>
        <v>5.2043999999999997</v>
      </c>
      <c r="E322" s="64">
        <f>5.972 * CHOOSE(CONTROL!$C$22, $C$13, 100%, $E$13)</f>
        <v>5.9720000000000004</v>
      </c>
      <c r="F322" s="64">
        <f>5.972 * CHOOSE(CONTROL!$C$22, $C$13, 100%, $E$13)</f>
        <v>5.9720000000000004</v>
      </c>
      <c r="G322" s="64">
        <f>5.9722 * CHOOSE(CONTROL!$C$22, $C$13, 100%, $E$13)</f>
        <v>5.9722</v>
      </c>
      <c r="H322" s="64">
        <f>10.6556* CHOOSE(CONTROL!$C$22, $C$13, 100%, $E$13)</f>
        <v>10.6556</v>
      </c>
      <c r="I322" s="64">
        <f>10.6558 * CHOOSE(CONTROL!$C$22, $C$13, 100%, $E$13)</f>
        <v>10.655799999999999</v>
      </c>
      <c r="J322" s="64">
        <f>5.972 * CHOOSE(CONTROL!$C$22, $C$13, 100%, $E$13)</f>
        <v>5.9720000000000004</v>
      </c>
      <c r="K322" s="64">
        <f>5.9722 * CHOOSE(CONTROL!$C$22, $C$13, 100%, $E$13)</f>
        <v>5.9722</v>
      </c>
    </row>
    <row r="323" spans="1:11" ht="15">
      <c r="A323" s="13">
        <v>51471</v>
      </c>
      <c r="B323" s="63">
        <f>5.1845 * CHOOSE(CONTROL!$C$22, $C$13, 100%, $E$13)</f>
        <v>5.1844999999999999</v>
      </c>
      <c r="C323" s="63">
        <f>5.1845 * CHOOSE(CONTROL!$C$22, $C$13, 100%, $E$13)</f>
        <v>5.1844999999999999</v>
      </c>
      <c r="D323" s="63">
        <f>5.2044 * CHOOSE(CONTROL!$C$22, $C$13, 100%, $E$13)</f>
        <v>5.2043999999999997</v>
      </c>
      <c r="E323" s="64">
        <f>5.9382 * CHOOSE(CONTROL!$C$22, $C$13, 100%, $E$13)</f>
        <v>5.9382000000000001</v>
      </c>
      <c r="F323" s="64">
        <f>5.9382 * CHOOSE(CONTROL!$C$22, $C$13, 100%, $E$13)</f>
        <v>5.9382000000000001</v>
      </c>
      <c r="G323" s="64">
        <f>5.9384 * CHOOSE(CONTROL!$C$22, $C$13, 100%, $E$13)</f>
        <v>5.9383999999999997</v>
      </c>
      <c r="H323" s="64">
        <f>10.6778* CHOOSE(CONTROL!$C$22, $C$13, 100%, $E$13)</f>
        <v>10.6778</v>
      </c>
      <c r="I323" s="64">
        <f>10.678 * CHOOSE(CONTROL!$C$22, $C$13, 100%, $E$13)</f>
        <v>10.678000000000001</v>
      </c>
      <c r="J323" s="64">
        <f>5.9382 * CHOOSE(CONTROL!$C$22, $C$13, 100%, $E$13)</f>
        <v>5.9382000000000001</v>
      </c>
      <c r="K323" s="64">
        <f>5.9384 * CHOOSE(CONTROL!$C$22, $C$13, 100%, $E$13)</f>
        <v>5.9383999999999997</v>
      </c>
    </row>
    <row r="324" spans="1:11" ht="15">
      <c r="A324" s="13">
        <v>51502</v>
      </c>
      <c r="B324" s="63">
        <f>5.2322 * CHOOSE(CONTROL!$C$22, $C$13, 100%, $E$13)</f>
        <v>5.2321999999999997</v>
      </c>
      <c r="C324" s="63">
        <f>5.2322 * CHOOSE(CONTROL!$C$22, $C$13, 100%, $E$13)</f>
        <v>5.2321999999999997</v>
      </c>
      <c r="D324" s="63">
        <f>5.2522 * CHOOSE(CONTROL!$C$22, $C$13, 100%, $E$13)</f>
        <v>5.2522000000000002</v>
      </c>
      <c r="E324" s="64">
        <f>6.0167 * CHOOSE(CONTROL!$C$22, $C$13, 100%, $E$13)</f>
        <v>6.0167000000000002</v>
      </c>
      <c r="F324" s="64">
        <f>6.0167 * CHOOSE(CONTROL!$C$22, $C$13, 100%, $E$13)</f>
        <v>6.0167000000000002</v>
      </c>
      <c r="G324" s="64">
        <f>6.0168 * CHOOSE(CONTROL!$C$22, $C$13, 100%, $E$13)</f>
        <v>6.0167999999999999</v>
      </c>
      <c r="H324" s="64">
        <f>10.7* CHOOSE(CONTROL!$C$22, $C$13, 100%, $E$13)</f>
        <v>10.7</v>
      </c>
      <c r="I324" s="64">
        <f>10.7002 * CHOOSE(CONTROL!$C$22, $C$13, 100%, $E$13)</f>
        <v>10.700200000000001</v>
      </c>
      <c r="J324" s="64">
        <f>6.0167 * CHOOSE(CONTROL!$C$22, $C$13, 100%, $E$13)</f>
        <v>6.0167000000000002</v>
      </c>
      <c r="K324" s="64">
        <f>6.0168 * CHOOSE(CONTROL!$C$22, $C$13, 100%, $E$13)</f>
        <v>6.0167999999999999</v>
      </c>
    </row>
    <row r="325" spans="1:11" ht="15">
      <c r="A325" s="13">
        <v>51533</v>
      </c>
      <c r="B325" s="63">
        <f>5.2292 * CHOOSE(CONTROL!$C$22, $C$13, 100%, $E$13)</f>
        <v>5.2291999999999996</v>
      </c>
      <c r="C325" s="63">
        <f>5.2292 * CHOOSE(CONTROL!$C$22, $C$13, 100%, $E$13)</f>
        <v>5.2291999999999996</v>
      </c>
      <c r="D325" s="63">
        <f>5.2492 * CHOOSE(CONTROL!$C$22, $C$13, 100%, $E$13)</f>
        <v>5.2492000000000001</v>
      </c>
      <c r="E325" s="64">
        <f>5.9489 * CHOOSE(CONTROL!$C$22, $C$13, 100%, $E$13)</f>
        <v>5.9489000000000001</v>
      </c>
      <c r="F325" s="64">
        <f>5.9489 * CHOOSE(CONTROL!$C$22, $C$13, 100%, $E$13)</f>
        <v>5.9489000000000001</v>
      </c>
      <c r="G325" s="64">
        <f>5.949 * CHOOSE(CONTROL!$C$22, $C$13, 100%, $E$13)</f>
        <v>5.9489999999999998</v>
      </c>
      <c r="H325" s="64">
        <f>10.7223* CHOOSE(CONTROL!$C$22, $C$13, 100%, $E$13)</f>
        <v>10.722300000000001</v>
      </c>
      <c r="I325" s="64">
        <f>10.7225 * CHOOSE(CONTROL!$C$22, $C$13, 100%, $E$13)</f>
        <v>10.7225</v>
      </c>
      <c r="J325" s="64">
        <f>5.9489 * CHOOSE(CONTROL!$C$22, $C$13, 100%, $E$13)</f>
        <v>5.9489000000000001</v>
      </c>
      <c r="K325" s="64">
        <f>5.949 * CHOOSE(CONTROL!$C$22, $C$13, 100%, $E$13)</f>
        <v>5.9489999999999998</v>
      </c>
    </row>
    <row r="326" spans="1:11" ht="15">
      <c r="A326" s="13">
        <v>51561</v>
      </c>
      <c r="B326" s="63">
        <f>5.2262 * CHOOSE(CONTROL!$C$22, $C$13, 100%, $E$13)</f>
        <v>5.2262000000000004</v>
      </c>
      <c r="C326" s="63">
        <f>5.2262 * CHOOSE(CONTROL!$C$22, $C$13, 100%, $E$13)</f>
        <v>5.2262000000000004</v>
      </c>
      <c r="D326" s="63">
        <f>5.2461 * CHOOSE(CONTROL!$C$22, $C$13, 100%, $E$13)</f>
        <v>5.2461000000000002</v>
      </c>
      <c r="E326" s="64">
        <f>5.9985 * CHOOSE(CONTROL!$C$22, $C$13, 100%, $E$13)</f>
        <v>5.9984999999999999</v>
      </c>
      <c r="F326" s="64">
        <f>5.9985 * CHOOSE(CONTROL!$C$22, $C$13, 100%, $E$13)</f>
        <v>5.9984999999999999</v>
      </c>
      <c r="G326" s="64">
        <f>5.9987 * CHOOSE(CONTROL!$C$22, $C$13, 100%, $E$13)</f>
        <v>5.9987000000000004</v>
      </c>
      <c r="H326" s="64">
        <f>10.7447* CHOOSE(CONTROL!$C$22, $C$13, 100%, $E$13)</f>
        <v>10.7447</v>
      </c>
      <c r="I326" s="64">
        <f>10.7448 * CHOOSE(CONTROL!$C$22, $C$13, 100%, $E$13)</f>
        <v>10.7448</v>
      </c>
      <c r="J326" s="64">
        <f>5.9985 * CHOOSE(CONTROL!$C$22, $C$13, 100%, $E$13)</f>
        <v>5.9984999999999999</v>
      </c>
      <c r="K326" s="64">
        <f>5.9987 * CHOOSE(CONTROL!$C$22, $C$13, 100%, $E$13)</f>
        <v>5.9987000000000004</v>
      </c>
    </row>
    <row r="327" spans="1:11" ht="15">
      <c r="A327" s="13">
        <v>51592</v>
      </c>
      <c r="B327" s="63">
        <f>5.2249 * CHOOSE(CONTROL!$C$22, $C$13, 100%, $E$13)</f>
        <v>5.2248999999999999</v>
      </c>
      <c r="C327" s="63">
        <f>5.2249 * CHOOSE(CONTROL!$C$22, $C$13, 100%, $E$13)</f>
        <v>5.2248999999999999</v>
      </c>
      <c r="D327" s="63">
        <f>5.2449 * CHOOSE(CONTROL!$C$22, $C$13, 100%, $E$13)</f>
        <v>5.2449000000000003</v>
      </c>
      <c r="E327" s="64">
        <f>6.0499 * CHOOSE(CONTROL!$C$22, $C$13, 100%, $E$13)</f>
        <v>6.0499000000000001</v>
      </c>
      <c r="F327" s="64">
        <f>6.0499 * CHOOSE(CONTROL!$C$22, $C$13, 100%, $E$13)</f>
        <v>6.0499000000000001</v>
      </c>
      <c r="G327" s="64">
        <f>6.0501 * CHOOSE(CONTROL!$C$22, $C$13, 100%, $E$13)</f>
        <v>6.0500999999999996</v>
      </c>
      <c r="H327" s="64">
        <f>10.767* CHOOSE(CONTROL!$C$22, $C$13, 100%, $E$13)</f>
        <v>10.766999999999999</v>
      </c>
      <c r="I327" s="64">
        <f>10.7672 * CHOOSE(CONTROL!$C$22, $C$13, 100%, $E$13)</f>
        <v>10.767200000000001</v>
      </c>
      <c r="J327" s="64">
        <f>6.0499 * CHOOSE(CONTROL!$C$22, $C$13, 100%, $E$13)</f>
        <v>6.0499000000000001</v>
      </c>
      <c r="K327" s="64">
        <f>6.0501 * CHOOSE(CONTROL!$C$22, $C$13, 100%, $E$13)</f>
        <v>6.0500999999999996</v>
      </c>
    </row>
    <row r="328" spans="1:11" ht="15">
      <c r="A328" s="13">
        <v>51622</v>
      </c>
      <c r="B328" s="63">
        <f>5.2249 * CHOOSE(CONTROL!$C$22, $C$13, 100%, $E$13)</f>
        <v>5.2248999999999999</v>
      </c>
      <c r="C328" s="63">
        <f>5.2249 * CHOOSE(CONTROL!$C$22, $C$13, 100%, $E$13)</f>
        <v>5.2248999999999999</v>
      </c>
      <c r="D328" s="63">
        <f>5.2649 * CHOOSE(CONTROL!$C$22, $C$13, 100%, $E$13)</f>
        <v>5.2648999999999999</v>
      </c>
      <c r="E328" s="64">
        <f>6.0707 * CHOOSE(CONTROL!$C$22, $C$13, 100%, $E$13)</f>
        <v>6.0707000000000004</v>
      </c>
      <c r="F328" s="64">
        <f>6.0707 * CHOOSE(CONTROL!$C$22, $C$13, 100%, $E$13)</f>
        <v>6.0707000000000004</v>
      </c>
      <c r="G328" s="64">
        <f>6.0732 * CHOOSE(CONTROL!$C$22, $C$13, 100%, $E$13)</f>
        <v>6.0731999999999999</v>
      </c>
      <c r="H328" s="64">
        <f>10.7895* CHOOSE(CONTROL!$C$22, $C$13, 100%, $E$13)</f>
        <v>10.7895</v>
      </c>
      <c r="I328" s="64">
        <f>10.7919 * CHOOSE(CONTROL!$C$22, $C$13, 100%, $E$13)</f>
        <v>10.7919</v>
      </c>
      <c r="J328" s="64">
        <f>6.0707 * CHOOSE(CONTROL!$C$22, $C$13, 100%, $E$13)</f>
        <v>6.0707000000000004</v>
      </c>
      <c r="K328" s="64">
        <f>6.0732 * CHOOSE(CONTROL!$C$22, $C$13, 100%, $E$13)</f>
        <v>6.0731999999999999</v>
      </c>
    </row>
    <row r="329" spans="1:11" ht="15">
      <c r="A329" s="13">
        <v>51653</v>
      </c>
      <c r="B329" s="63">
        <f>5.231 * CHOOSE(CONTROL!$C$22, $C$13, 100%, $E$13)</f>
        <v>5.2309999999999999</v>
      </c>
      <c r="C329" s="63">
        <f>5.231 * CHOOSE(CONTROL!$C$22, $C$13, 100%, $E$13)</f>
        <v>5.2309999999999999</v>
      </c>
      <c r="D329" s="63">
        <f>5.271 * CHOOSE(CONTROL!$C$22, $C$13, 100%, $E$13)</f>
        <v>5.2709999999999999</v>
      </c>
      <c r="E329" s="64">
        <f>6.0541 * CHOOSE(CONTROL!$C$22, $C$13, 100%, $E$13)</f>
        <v>6.0541</v>
      </c>
      <c r="F329" s="64">
        <f>6.0541 * CHOOSE(CONTROL!$C$22, $C$13, 100%, $E$13)</f>
        <v>6.0541</v>
      </c>
      <c r="G329" s="64">
        <f>6.0566 * CHOOSE(CONTROL!$C$22, $C$13, 100%, $E$13)</f>
        <v>6.0566000000000004</v>
      </c>
      <c r="H329" s="64">
        <f>10.812* CHOOSE(CONTROL!$C$22, $C$13, 100%, $E$13)</f>
        <v>10.811999999999999</v>
      </c>
      <c r="I329" s="64">
        <f>10.8144 * CHOOSE(CONTROL!$C$22, $C$13, 100%, $E$13)</f>
        <v>10.814399999999999</v>
      </c>
      <c r="J329" s="64">
        <f>6.0541 * CHOOSE(CONTROL!$C$22, $C$13, 100%, $E$13)</f>
        <v>6.0541</v>
      </c>
      <c r="K329" s="64">
        <f>6.0566 * CHOOSE(CONTROL!$C$22, $C$13, 100%, $E$13)</f>
        <v>6.0566000000000004</v>
      </c>
    </row>
    <row r="330" spans="1:11" ht="15">
      <c r="A330" s="13">
        <v>51683</v>
      </c>
      <c r="B330" s="63">
        <f>5.3201 * CHOOSE(CONTROL!$C$22, $C$13, 100%, $E$13)</f>
        <v>5.3201000000000001</v>
      </c>
      <c r="C330" s="63">
        <f>5.3201 * CHOOSE(CONTROL!$C$22, $C$13, 100%, $E$13)</f>
        <v>5.3201000000000001</v>
      </c>
      <c r="D330" s="63">
        <f>5.36 * CHOOSE(CONTROL!$C$22, $C$13, 100%, $E$13)</f>
        <v>5.36</v>
      </c>
      <c r="E330" s="64">
        <f>6.1755 * CHOOSE(CONTROL!$C$22, $C$13, 100%, $E$13)</f>
        <v>6.1755000000000004</v>
      </c>
      <c r="F330" s="64">
        <f>6.1755 * CHOOSE(CONTROL!$C$22, $C$13, 100%, $E$13)</f>
        <v>6.1755000000000004</v>
      </c>
      <c r="G330" s="64">
        <f>6.1779 * CHOOSE(CONTROL!$C$22, $C$13, 100%, $E$13)</f>
        <v>6.1779000000000002</v>
      </c>
      <c r="H330" s="64">
        <f>10.8345* CHOOSE(CONTROL!$C$22, $C$13, 100%, $E$13)</f>
        <v>10.8345</v>
      </c>
      <c r="I330" s="64">
        <f>10.8369 * CHOOSE(CONTROL!$C$22, $C$13, 100%, $E$13)</f>
        <v>10.8369</v>
      </c>
      <c r="J330" s="64">
        <f>6.1755 * CHOOSE(CONTROL!$C$22, $C$13, 100%, $E$13)</f>
        <v>6.1755000000000004</v>
      </c>
      <c r="K330" s="64">
        <f>6.1779 * CHOOSE(CONTROL!$C$22, $C$13, 100%, $E$13)</f>
        <v>6.1779000000000002</v>
      </c>
    </row>
    <row r="331" spans="1:11" ht="15">
      <c r="A331" s="13">
        <v>51714</v>
      </c>
      <c r="B331" s="63">
        <f>5.3268 * CHOOSE(CONTROL!$C$22, $C$13, 100%, $E$13)</f>
        <v>5.3268000000000004</v>
      </c>
      <c r="C331" s="63">
        <f>5.3268 * CHOOSE(CONTROL!$C$22, $C$13, 100%, $E$13)</f>
        <v>5.3268000000000004</v>
      </c>
      <c r="D331" s="63">
        <f>5.3667 * CHOOSE(CONTROL!$C$22, $C$13, 100%, $E$13)</f>
        <v>5.3666999999999998</v>
      </c>
      <c r="E331" s="64">
        <f>6.1176 * CHOOSE(CONTROL!$C$22, $C$13, 100%, $E$13)</f>
        <v>6.1176000000000004</v>
      </c>
      <c r="F331" s="64">
        <f>6.1176 * CHOOSE(CONTROL!$C$22, $C$13, 100%, $E$13)</f>
        <v>6.1176000000000004</v>
      </c>
      <c r="G331" s="64">
        <f>6.12 * CHOOSE(CONTROL!$C$22, $C$13, 100%, $E$13)</f>
        <v>6.12</v>
      </c>
      <c r="H331" s="64">
        <f>10.8571* CHOOSE(CONTROL!$C$22, $C$13, 100%, $E$13)</f>
        <v>10.857100000000001</v>
      </c>
      <c r="I331" s="64">
        <f>10.8595 * CHOOSE(CONTROL!$C$22, $C$13, 100%, $E$13)</f>
        <v>10.859500000000001</v>
      </c>
      <c r="J331" s="64">
        <f>6.1176 * CHOOSE(CONTROL!$C$22, $C$13, 100%, $E$13)</f>
        <v>6.1176000000000004</v>
      </c>
      <c r="K331" s="64">
        <f>6.12 * CHOOSE(CONTROL!$C$22, $C$13, 100%, $E$13)</f>
        <v>6.12</v>
      </c>
    </row>
    <row r="332" spans="1:11" ht="15">
      <c r="A332" s="13">
        <v>51745</v>
      </c>
      <c r="B332" s="63">
        <f>5.3237 * CHOOSE(CONTROL!$C$22, $C$13, 100%, $E$13)</f>
        <v>5.3236999999999997</v>
      </c>
      <c r="C332" s="63">
        <f>5.3237 * CHOOSE(CONTROL!$C$22, $C$13, 100%, $E$13)</f>
        <v>5.3236999999999997</v>
      </c>
      <c r="D332" s="63">
        <f>5.3637 * CHOOSE(CONTROL!$C$22, $C$13, 100%, $E$13)</f>
        <v>5.3636999999999997</v>
      </c>
      <c r="E332" s="64">
        <f>6.1085 * CHOOSE(CONTROL!$C$22, $C$13, 100%, $E$13)</f>
        <v>6.1085000000000003</v>
      </c>
      <c r="F332" s="64">
        <f>6.1085 * CHOOSE(CONTROL!$C$22, $C$13, 100%, $E$13)</f>
        <v>6.1085000000000003</v>
      </c>
      <c r="G332" s="64">
        <f>6.111 * CHOOSE(CONTROL!$C$22, $C$13, 100%, $E$13)</f>
        <v>6.1109999999999998</v>
      </c>
      <c r="H332" s="64">
        <f>10.8797* CHOOSE(CONTROL!$C$22, $C$13, 100%, $E$13)</f>
        <v>10.8797</v>
      </c>
      <c r="I332" s="64">
        <f>10.8821 * CHOOSE(CONTROL!$C$22, $C$13, 100%, $E$13)</f>
        <v>10.882099999999999</v>
      </c>
      <c r="J332" s="64">
        <f>6.1085 * CHOOSE(CONTROL!$C$22, $C$13, 100%, $E$13)</f>
        <v>6.1085000000000003</v>
      </c>
      <c r="K332" s="64">
        <f>6.111 * CHOOSE(CONTROL!$C$22, $C$13, 100%, $E$13)</f>
        <v>6.1109999999999998</v>
      </c>
    </row>
    <row r="333" spans="1:11" ht="15">
      <c r="A333" s="13">
        <v>51775</v>
      </c>
      <c r="B333" s="63">
        <f>5.3234 * CHOOSE(CONTROL!$C$22, $C$13, 100%, $E$13)</f>
        <v>5.3234000000000004</v>
      </c>
      <c r="C333" s="63">
        <f>5.3234 * CHOOSE(CONTROL!$C$22, $C$13, 100%, $E$13)</f>
        <v>5.3234000000000004</v>
      </c>
      <c r="D333" s="63">
        <f>5.3434 * CHOOSE(CONTROL!$C$22, $C$13, 100%, $E$13)</f>
        <v>5.3433999999999999</v>
      </c>
      <c r="E333" s="64">
        <f>6.1229 * CHOOSE(CONTROL!$C$22, $C$13, 100%, $E$13)</f>
        <v>6.1228999999999996</v>
      </c>
      <c r="F333" s="64">
        <f>6.1229 * CHOOSE(CONTROL!$C$22, $C$13, 100%, $E$13)</f>
        <v>6.1228999999999996</v>
      </c>
      <c r="G333" s="64">
        <f>6.1231 * CHOOSE(CONTROL!$C$22, $C$13, 100%, $E$13)</f>
        <v>6.1231</v>
      </c>
      <c r="H333" s="64">
        <f>10.9023* CHOOSE(CONTROL!$C$22, $C$13, 100%, $E$13)</f>
        <v>10.9023</v>
      </c>
      <c r="I333" s="64">
        <f>10.9025 * CHOOSE(CONTROL!$C$22, $C$13, 100%, $E$13)</f>
        <v>10.9025</v>
      </c>
      <c r="J333" s="64">
        <f>6.1229 * CHOOSE(CONTROL!$C$22, $C$13, 100%, $E$13)</f>
        <v>6.1228999999999996</v>
      </c>
      <c r="K333" s="64">
        <f>6.1231 * CHOOSE(CONTROL!$C$22, $C$13, 100%, $E$13)</f>
        <v>6.1231</v>
      </c>
    </row>
    <row r="334" spans="1:11" ht="15">
      <c r="A334" s="13">
        <v>51806</v>
      </c>
      <c r="B334" s="63">
        <f>5.3265 * CHOOSE(CONTROL!$C$22, $C$13, 100%, $E$13)</f>
        <v>5.3265000000000002</v>
      </c>
      <c r="C334" s="63">
        <f>5.3265 * CHOOSE(CONTROL!$C$22, $C$13, 100%, $E$13)</f>
        <v>5.3265000000000002</v>
      </c>
      <c r="D334" s="63">
        <f>5.3465 * CHOOSE(CONTROL!$C$22, $C$13, 100%, $E$13)</f>
        <v>5.3464999999999998</v>
      </c>
      <c r="E334" s="64">
        <f>6.1389 * CHOOSE(CONTROL!$C$22, $C$13, 100%, $E$13)</f>
        <v>6.1388999999999996</v>
      </c>
      <c r="F334" s="64">
        <f>6.1389 * CHOOSE(CONTROL!$C$22, $C$13, 100%, $E$13)</f>
        <v>6.1388999999999996</v>
      </c>
      <c r="G334" s="64">
        <f>6.1391 * CHOOSE(CONTROL!$C$22, $C$13, 100%, $E$13)</f>
        <v>6.1391</v>
      </c>
      <c r="H334" s="64">
        <f>10.9251* CHOOSE(CONTROL!$C$22, $C$13, 100%, $E$13)</f>
        <v>10.9251</v>
      </c>
      <c r="I334" s="64">
        <f>10.9252 * CHOOSE(CONTROL!$C$22, $C$13, 100%, $E$13)</f>
        <v>10.9252</v>
      </c>
      <c r="J334" s="64">
        <f>6.1389 * CHOOSE(CONTROL!$C$22, $C$13, 100%, $E$13)</f>
        <v>6.1388999999999996</v>
      </c>
      <c r="K334" s="64">
        <f>6.1391 * CHOOSE(CONTROL!$C$22, $C$13, 100%, $E$13)</f>
        <v>6.1391</v>
      </c>
    </row>
    <row r="335" spans="1:11" ht="15">
      <c r="A335" s="13">
        <v>51836</v>
      </c>
      <c r="B335" s="63">
        <f>5.3265 * CHOOSE(CONTROL!$C$22, $C$13, 100%, $E$13)</f>
        <v>5.3265000000000002</v>
      </c>
      <c r="C335" s="63">
        <f>5.3265 * CHOOSE(CONTROL!$C$22, $C$13, 100%, $E$13)</f>
        <v>5.3265000000000002</v>
      </c>
      <c r="D335" s="63">
        <f>5.3465 * CHOOSE(CONTROL!$C$22, $C$13, 100%, $E$13)</f>
        <v>5.3464999999999998</v>
      </c>
      <c r="E335" s="64">
        <f>6.1042 * CHOOSE(CONTROL!$C$22, $C$13, 100%, $E$13)</f>
        <v>6.1041999999999996</v>
      </c>
      <c r="F335" s="64">
        <f>6.1042 * CHOOSE(CONTROL!$C$22, $C$13, 100%, $E$13)</f>
        <v>6.1041999999999996</v>
      </c>
      <c r="G335" s="64">
        <f>6.1044 * CHOOSE(CONTROL!$C$22, $C$13, 100%, $E$13)</f>
        <v>6.1044</v>
      </c>
      <c r="H335" s="64">
        <f>10.9478* CHOOSE(CONTROL!$C$22, $C$13, 100%, $E$13)</f>
        <v>10.947800000000001</v>
      </c>
      <c r="I335" s="64">
        <f>10.948 * CHOOSE(CONTROL!$C$22, $C$13, 100%, $E$13)</f>
        <v>10.948</v>
      </c>
      <c r="J335" s="64">
        <f>6.1042 * CHOOSE(CONTROL!$C$22, $C$13, 100%, $E$13)</f>
        <v>6.1041999999999996</v>
      </c>
      <c r="K335" s="64">
        <f>6.1044 * CHOOSE(CONTROL!$C$22, $C$13, 100%, $E$13)</f>
        <v>6.1044</v>
      </c>
    </row>
    <row r="336" spans="1:11" ht="15">
      <c r="A336" s="13">
        <v>51867</v>
      </c>
      <c r="B336" s="63">
        <f>5.375 * CHOOSE(CONTROL!$C$22, $C$13, 100%, $E$13)</f>
        <v>5.375</v>
      </c>
      <c r="C336" s="63">
        <f>5.375 * CHOOSE(CONTROL!$C$22, $C$13, 100%, $E$13)</f>
        <v>5.375</v>
      </c>
      <c r="D336" s="63">
        <f>5.395 * CHOOSE(CONTROL!$C$22, $C$13, 100%, $E$13)</f>
        <v>5.3949999999999996</v>
      </c>
      <c r="E336" s="64">
        <f>6.1849 * CHOOSE(CONTROL!$C$22, $C$13, 100%, $E$13)</f>
        <v>6.1848999999999998</v>
      </c>
      <c r="F336" s="64">
        <f>6.1849 * CHOOSE(CONTROL!$C$22, $C$13, 100%, $E$13)</f>
        <v>6.1848999999999998</v>
      </c>
      <c r="G336" s="64">
        <f>6.1851 * CHOOSE(CONTROL!$C$22, $C$13, 100%, $E$13)</f>
        <v>6.1851000000000003</v>
      </c>
      <c r="H336" s="64">
        <f>10.9706* CHOOSE(CONTROL!$C$22, $C$13, 100%, $E$13)</f>
        <v>10.970599999999999</v>
      </c>
      <c r="I336" s="64">
        <f>10.9708 * CHOOSE(CONTROL!$C$22, $C$13, 100%, $E$13)</f>
        <v>10.970800000000001</v>
      </c>
      <c r="J336" s="64">
        <f>6.1849 * CHOOSE(CONTROL!$C$22, $C$13, 100%, $E$13)</f>
        <v>6.1848999999999998</v>
      </c>
      <c r="K336" s="64">
        <f>6.1851 * CHOOSE(CONTROL!$C$22, $C$13, 100%, $E$13)</f>
        <v>6.1851000000000003</v>
      </c>
    </row>
    <row r="337" spans="1:11" ht="15">
      <c r="A337" s="13">
        <v>51898</v>
      </c>
      <c r="B337" s="63">
        <f>5.372 * CHOOSE(CONTROL!$C$22, $C$13, 100%, $E$13)</f>
        <v>5.3719999999999999</v>
      </c>
      <c r="C337" s="63">
        <f>5.372 * CHOOSE(CONTROL!$C$22, $C$13, 100%, $E$13)</f>
        <v>5.3719999999999999</v>
      </c>
      <c r="D337" s="63">
        <f>5.392 * CHOOSE(CONTROL!$C$22, $C$13, 100%, $E$13)</f>
        <v>5.3920000000000003</v>
      </c>
      <c r="E337" s="64">
        <f>6.1153 * CHOOSE(CONTROL!$C$22, $C$13, 100%, $E$13)</f>
        <v>6.1153000000000004</v>
      </c>
      <c r="F337" s="64">
        <f>6.1153 * CHOOSE(CONTROL!$C$22, $C$13, 100%, $E$13)</f>
        <v>6.1153000000000004</v>
      </c>
      <c r="G337" s="64">
        <f>6.1154 * CHOOSE(CONTROL!$C$22, $C$13, 100%, $E$13)</f>
        <v>6.1154000000000002</v>
      </c>
      <c r="H337" s="64">
        <f>10.9935* CHOOSE(CONTROL!$C$22, $C$13, 100%, $E$13)</f>
        <v>10.993499999999999</v>
      </c>
      <c r="I337" s="64">
        <f>10.9937 * CHOOSE(CONTROL!$C$22, $C$13, 100%, $E$13)</f>
        <v>10.9937</v>
      </c>
      <c r="J337" s="64">
        <f>6.1153 * CHOOSE(CONTROL!$C$22, $C$13, 100%, $E$13)</f>
        <v>6.1153000000000004</v>
      </c>
      <c r="K337" s="64">
        <f>6.1154 * CHOOSE(CONTROL!$C$22, $C$13, 100%, $E$13)</f>
        <v>6.1154000000000002</v>
      </c>
    </row>
    <row r="338" spans="1:11" ht="15">
      <c r="A338" s="13">
        <v>51926</v>
      </c>
      <c r="B338" s="63">
        <f>5.369 * CHOOSE(CONTROL!$C$22, $C$13, 100%, $E$13)</f>
        <v>5.3689999999999998</v>
      </c>
      <c r="C338" s="63">
        <f>5.369 * CHOOSE(CONTROL!$C$22, $C$13, 100%, $E$13)</f>
        <v>5.3689999999999998</v>
      </c>
      <c r="D338" s="63">
        <f>5.3889 * CHOOSE(CONTROL!$C$22, $C$13, 100%, $E$13)</f>
        <v>5.3888999999999996</v>
      </c>
      <c r="E338" s="64">
        <f>6.1664 * CHOOSE(CONTROL!$C$22, $C$13, 100%, $E$13)</f>
        <v>6.1664000000000003</v>
      </c>
      <c r="F338" s="64">
        <f>6.1664 * CHOOSE(CONTROL!$C$22, $C$13, 100%, $E$13)</f>
        <v>6.1664000000000003</v>
      </c>
      <c r="G338" s="64">
        <f>6.1665 * CHOOSE(CONTROL!$C$22, $C$13, 100%, $E$13)</f>
        <v>6.1665000000000001</v>
      </c>
      <c r="H338" s="64">
        <f>11.0164* CHOOSE(CONTROL!$C$22, $C$13, 100%, $E$13)</f>
        <v>11.016400000000001</v>
      </c>
      <c r="I338" s="64">
        <f>11.0166 * CHOOSE(CONTROL!$C$22, $C$13, 100%, $E$13)</f>
        <v>11.0166</v>
      </c>
      <c r="J338" s="64">
        <f>6.1664 * CHOOSE(CONTROL!$C$22, $C$13, 100%, $E$13)</f>
        <v>6.1664000000000003</v>
      </c>
      <c r="K338" s="64">
        <f>6.1665 * CHOOSE(CONTROL!$C$22, $C$13, 100%, $E$13)</f>
        <v>6.1665000000000001</v>
      </c>
    </row>
    <row r="339" spans="1:11" ht="15">
      <c r="A339" s="13">
        <v>51957</v>
      </c>
      <c r="B339" s="63">
        <f>5.3679 * CHOOSE(CONTROL!$C$22, $C$13, 100%, $E$13)</f>
        <v>5.3678999999999997</v>
      </c>
      <c r="C339" s="63">
        <f>5.3679 * CHOOSE(CONTROL!$C$22, $C$13, 100%, $E$13)</f>
        <v>5.3678999999999997</v>
      </c>
      <c r="D339" s="63">
        <f>5.3878 * CHOOSE(CONTROL!$C$22, $C$13, 100%, $E$13)</f>
        <v>5.3878000000000004</v>
      </c>
      <c r="E339" s="64">
        <f>6.2193 * CHOOSE(CONTROL!$C$22, $C$13, 100%, $E$13)</f>
        <v>6.2192999999999996</v>
      </c>
      <c r="F339" s="64">
        <f>6.2193 * CHOOSE(CONTROL!$C$22, $C$13, 100%, $E$13)</f>
        <v>6.2192999999999996</v>
      </c>
      <c r="G339" s="64">
        <f>6.2195 * CHOOSE(CONTROL!$C$22, $C$13, 100%, $E$13)</f>
        <v>6.2195</v>
      </c>
      <c r="H339" s="64">
        <f>11.0393* CHOOSE(CONTROL!$C$22, $C$13, 100%, $E$13)</f>
        <v>11.039300000000001</v>
      </c>
      <c r="I339" s="64">
        <f>11.0395 * CHOOSE(CONTROL!$C$22, $C$13, 100%, $E$13)</f>
        <v>11.0395</v>
      </c>
      <c r="J339" s="64">
        <f>6.2193 * CHOOSE(CONTROL!$C$22, $C$13, 100%, $E$13)</f>
        <v>6.2192999999999996</v>
      </c>
      <c r="K339" s="64">
        <f>6.2195 * CHOOSE(CONTROL!$C$22, $C$13, 100%, $E$13)</f>
        <v>6.2195</v>
      </c>
    </row>
    <row r="340" spans="1:11" ht="15">
      <c r="A340" s="13">
        <v>51987</v>
      </c>
      <c r="B340" s="63">
        <f>5.3679 * CHOOSE(CONTROL!$C$22, $C$13, 100%, $E$13)</f>
        <v>5.3678999999999997</v>
      </c>
      <c r="C340" s="63">
        <f>5.3679 * CHOOSE(CONTROL!$C$22, $C$13, 100%, $E$13)</f>
        <v>5.3678999999999997</v>
      </c>
      <c r="D340" s="63">
        <f>5.4078 * CHOOSE(CONTROL!$C$22, $C$13, 100%, $E$13)</f>
        <v>5.4077999999999999</v>
      </c>
      <c r="E340" s="64">
        <f>6.2407 * CHOOSE(CONTROL!$C$22, $C$13, 100%, $E$13)</f>
        <v>6.2407000000000004</v>
      </c>
      <c r="F340" s="64">
        <f>6.2407 * CHOOSE(CONTROL!$C$22, $C$13, 100%, $E$13)</f>
        <v>6.2407000000000004</v>
      </c>
      <c r="G340" s="64">
        <f>6.2432 * CHOOSE(CONTROL!$C$22, $C$13, 100%, $E$13)</f>
        <v>6.2431999999999999</v>
      </c>
      <c r="H340" s="64">
        <f>11.0623* CHOOSE(CONTROL!$C$22, $C$13, 100%, $E$13)</f>
        <v>11.0623</v>
      </c>
      <c r="I340" s="64">
        <f>11.0648 * CHOOSE(CONTROL!$C$22, $C$13, 100%, $E$13)</f>
        <v>11.0648</v>
      </c>
      <c r="J340" s="64">
        <f>6.2407 * CHOOSE(CONTROL!$C$22, $C$13, 100%, $E$13)</f>
        <v>6.2407000000000004</v>
      </c>
      <c r="K340" s="64">
        <f>6.2432 * CHOOSE(CONTROL!$C$22, $C$13, 100%, $E$13)</f>
        <v>6.2431999999999999</v>
      </c>
    </row>
    <row r="341" spans="1:11" ht="15">
      <c r="A341" s="13">
        <v>52018</v>
      </c>
      <c r="B341" s="63">
        <f>5.3739 * CHOOSE(CONTROL!$C$22, $C$13, 100%, $E$13)</f>
        <v>5.3738999999999999</v>
      </c>
      <c r="C341" s="63">
        <f>5.3739 * CHOOSE(CONTROL!$C$22, $C$13, 100%, $E$13)</f>
        <v>5.3738999999999999</v>
      </c>
      <c r="D341" s="63">
        <f>5.4139 * CHOOSE(CONTROL!$C$22, $C$13, 100%, $E$13)</f>
        <v>5.4138999999999999</v>
      </c>
      <c r="E341" s="64">
        <f>6.2235 * CHOOSE(CONTROL!$C$22, $C$13, 100%, $E$13)</f>
        <v>6.2234999999999996</v>
      </c>
      <c r="F341" s="64">
        <f>6.2235 * CHOOSE(CONTROL!$C$22, $C$13, 100%, $E$13)</f>
        <v>6.2234999999999996</v>
      </c>
      <c r="G341" s="64">
        <f>6.226 * CHOOSE(CONTROL!$C$22, $C$13, 100%, $E$13)</f>
        <v>6.226</v>
      </c>
      <c r="H341" s="64">
        <f>11.0854* CHOOSE(CONTROL!$C$22, $C$13, 100%, $E$13)</f>
        <v>11.0854</v>
      </c>
      <c r="I341" s="64">
        <f>11.0878 * CHOOSE(CONTROL!$C$22, $C$13, 100%, $E$13)</f>
        <v>11.0878</v>
      </c>
      <c r="J341" s="64">
        <f>6.2235 * CHOOSE(CONTROL!$C$22, $C$13, 100%, $E$13)</f>
        <v>6.2234999999999996</v>
      </c>
      <c r="K341" s="64">
        <f>6.226 * CHOOSE(CONTROL!$C$22, $C$13, 100%, $E$13)</f>
        <v>6.226</v>
      </c>
    </row>
    <row r="342" spans="1:11" ht="15">
      <c r="A342" s="13">
        <v>52048</v>
      </c>
      <c r="B342" s="63">
        <f>5.4644 * CHOOSE(CONTROL!$C$22, $C$13, 100%, $E$13)</f>
        <v>5.4644000000000004</v>
      </c>
      <c r="C342" s="63">
        <f>5.4644 * CHOOSE(CONTROL!$C$22, $C$13, 100%, $E$13)</f>
        <v>5.4644000000000004</v>
      </c>
      <c r="D342" s="63">
        <f>5.5043 * CHOOSE(CONTROL!$C$22, $C$13, 100%, $E$13)</f>
        <v>5.5042999999999997</v>
      </c>
      <c r="E342" s="64">
        <f>6.3483 * CHOOSE(CONTROL!$C$22, $C$13, 100%, $E$13)</f>
        <v>6.3483000000000001</v>
      </c>
      <c r="F342" s="64">
        <f>6.3483 * CHOOSE(CONTROL!$C$22, $C$13, 100%, $E$13)</f>
        <v>6.3483000000000001</v>
      </c>
      <c r="G342" s="64">
        <f>6.3507 * CHOOSE(CONTROL!$C$22, $C$13, 100%, $E$13)</f>
        <v>6.3506999999999998</v>
      </c>
      <c r="H342" s="64">
        <f>11.1085* CHOOSE(CONTROL!$C$22, $C$13, 100%, $E$13)</f>
        <v>11.108499999999999</v>
      </c>
      <c r="I342" s="64">
        <f>11.1109 * CHOOSE(CONTROL!$C$22, $C$13, 100%, $E$13)</f>
        <v>11.110900000000001</v>
      </c>
      <c r="J342" s="64">
        <f>6.3483 * CHOOSE(CONTROL!$C$22, $C$13, 100%, $E$13)</f>
        <v>6.3483000000000001</v>
      </c>
      <c r="K342" s="64">
        <f>6.3507 * CHOOSE(CONTROL!$C$22, $C$13, 100%, $E$13)</f>
        <v>6.3506999999999998</v>
      </c>
    </row>
    <row r="343" spans="1:11" ht="15">
      <c r="A343" s="13">
        <v>52079</v>
      </c>
      <c r="B343" s="63">
        <f>5.4711 * CHOOSE(CONTROL!$C$22, $C$13, 100%, $E$13)</f>
        <v>5.4710999999999999</v>
      </c>
      <c r="C343" s="63">
        <f>5.4711 * CHOOSE(CONTROL!$C$22, $C$13, 100%, $E$13)</f>
        <v>5.4710999999999999</v>
      </c>
      <c r="D343" s="63">
        <f>5.511 * CHOOSE(CONTROL!$C$22, $C$13, 100%, $E$13)</f>
        <v>5.5110000000000001</v>
      </c>
      <c r="E343" s="64">
        <f>6.2886 * CHOOSE(CONTROL!$C$22, $C$13, 100%, $E$13)</f>
        <v>6.2885999999999997</v>
      </c>
      <c r="F343" s="64">
        <f>6.2886 * CHOOSE(CONTROL!$C$22, $C$13, 100%, $E$13)</f>
        <v>6.2885999999999997</v>
      </c>
      <c r="G343" s="64">
        <f>6.2911 * CHOOSE(CONTROL!$C$22, $C$13, 100%, $E$13)</f>
        <v>6.2911000000000001</v>
      </c>
      <c r="H343" s="64">
        <f>11.1316* CHOOSE(CONTROL!$C$22, $C$13, 100%, $E$13)</f>
        <v>11.131600000000001</v>
      </c>
      <c r="I343" s="64">
        <f>11.1341 * CHOOSE(CONTROL!$C$22, $C$13, 100%, $E$13)</f>
        <v>11.1341</v>
      </c>
      <c r="J343" s="64">
        <f>6.2886 * CHOOSE(CONTROL!$C$22, $C$13, 100%, $E$13)</f>
        <v>6.2885999999999997</v>
      </c>
      <c r="K343" s="64">
        <f>6.2911 * CHOOSE(CONTROL!$C$22, $C$13, 100%, $E$13)</f>
        <v>6.2911000000000001</v>
      </c>
    </row>
    <row r="344" spans="1:11" ht="15">
      <c r="A344" s="13">
        <v>52110</v>
      </c>
      <c r="B344" s="63">
        <f>5.468 * CHOOSE(CONTROL!$C$22, $C$13, 100%, $E$13)</f>
        <v>5.468</v>
      </c>
      <c r="C344" s="63">
        <f>5.468 * CHOOSE(CONTROL!$C$22, $C$13, 100%, $E$13)</f>
        <v>5.468</v>
      </c>
      <c r="D344" s="63">
        <f>5.5079 * CHOOSE(CONTROL!$C$22, $C$13, 100%, $E$13)</f>
        <v>5.5079000000000002</v>
      </c>
      <c r="E344" s="64">
        <f>6.2794 * CHOOSE(CONTROL!$C$22, $C$13, 100%, $E$13)</f>
        <v>6.2793999999999999</v>
      </c>
      <c r="F344" s="64">
        <f>6.2794 * CHOOSE(CONTROL!$C$22, $C$13, 100%, $E$13)</f>
        <v>6.2793999999999999</v>
      </c>
      <c r="G344" s="64">
        <f>6.2818 * CHOOSE(CONTROL!$C$22, $C$13, 100%, $E$13)</f>
        <v>6.2817999999999996</v>
      </c>
      <c r="H344" s="64">
        <f>11.1548* CHOOSE(CONTROL!$C$22, $C$13, 100%, $E$13)</f>
        <v>11.1548</v>
      </c>
      <c r="I344" s="64">
        <f>11.1572 * CHOOSE(CONTROL!$C$22, $C$13, 100%, $E$13)</f>
        <v>11.1572</v>
      </c>
      <c r="J344" s="64">
        <f>6.2794 * CHOOSE(CONTROL!$C$22, $C$13, 100%, $E$13)</f>
        <v>6.2793999999999999</v>
      </c>
      <c r="K344" s="64">
        <f>6.2818 * CHOOSE(CONTROL!$C$22, $C$13, 100%, $E$13)</f>
        <v>6.2817999999999996</v>
      </c>
    </row>
    <row r="345" spans="1:11" ht="15">
      <c r="A345" s="13">
        <v>52140</v>
      </c>
      <c r="B345" s="63">
        <f>5.4682 * CHOOSE(CONTROL!$C$22, $C$13, 100%, $E$13)</f>
        <v>5.4682000000000004</v>
      </c>
      <c r="C345" s="63">
        <f>5.4682 * CHOOSE(CONTROL!$C$22, $C$13, 100%, $E$13)</f>
        <v>5.4682000000000004</v>
      </c>
      <c r="D345" s="63">
        <f>5.4882 * CHOOSE(CONTROL!$C$22, $C$13, 100%, $E$13)</f>
        <v>5.4882</v>
      </c>
      <c r="E345" s="64">
        <f>6.2945 * CHOOSE(CONTROL!$C$22, $C$13, 100%, $E$13)</f>
        <v>6.2945000000000002</v>
      </c>
      <c r="F345" s="64">
        <f>6.2945 * CHOOSE(CONTROL!$C$22, $C$13, 100%, $E$13)</f>
        <v>6.2945000000000002</v>
      </c>
      <c r="G345" s="64">
        <f>6.2947 * CHOOSE(CONTROL!$C$22, $C$13, 100%, $E$13)</f>
        <v>6.2946999999999997</v>
      </c>
      <c r="H345" s="64">
        <f>11.178* CHOOSE(CONTROL!$C$22, $C$13, 100%, $E$13)</f>
        <v>11.178000000000001</v>
      </c>
      <c r="I345" s="64">
        <f>11.1782 * CHOOSE(CONTROL!$C$22, $C$13, 100%, $E$13)</f>
        <v>11.1782</v>
      </c>
      <c r="J345" s="64">
        <f>6.2945 * CHOOSE(CONTROL!$C$22, $C$13, 100%, $E$13)</f>
        <v>6.2945000000000002</v>
      </c>
      <c r="K345" s="64">
        <f>6.2947 * CHOOSE(CONTROL!$C$22, $C$13, 100%, $E$13)</f>
        <v>6.2946999999999997</v>
      </c>
    </row>
    <row r="346" spans="1:11" ht="15">
      <c r="A346" s="13">
        <v>52171</v>
      </c>
      <c r="B346" s="63">
        <f>5.4713 * CHOOSE(CONTROL!$C$22, $C$13, 100%, $E$13)</f>
        <v>5.4713000000000003</v>
      </c>
      <c r="C346" s="63">
        <f>5.4713 * CHOOSE(CONTROL!$C$22, $C$13, 100%, $E$13)</f>
        <v>5.4713000000000003</v>
      </c>
      <c r="D346" s="63">
        <f>5.4912 * CHOOSE(CONTROL!$C$22, $C$13, 100%, $E$13)</f>
        <v>5.4912000000000001</v>
      </c>
      <c r="E346" s="64">
        <f>6.311 * CHOOSE(CONTROL!$C$22, $C$13, 100%, $E$13)</f>
        <v>6.3109999999999999</v>
      </c>
      <c r="F346" s="64">
        <f>6.311 * CHOOSE(CONTROL!$C$22, $C$13, 100%, $E$13)</f>
        <v>6.3109999999999999</v>
      </c>
      <c r="G346" s="64">
        <f>6.3111 * CHOOSE(CONTROL!$C$22, $C$13, 100%, $E$13)</f>
        <v>6.3110999999999997</v>
      </c>
      <c r="H346" s="64">
        <f>11.2013* CHOOSE(CONTROL!$C$22, $C$13, 100%, $E$13)</f>
        <v>11.2013</v>
      </c>
      <c r="I346" s="64">
        <f>11.2015 * CHOOSE(CONTROL!$C$22, $C$13, 100%, $E$13)</f>
        <v>11.201499999999999</v>
      </c>
      <c r="J346" s="64">
        <f>6.311 * CHOOSE(CONTROL!$C$22, $C$13, 100%, $E$13)</f>
        <v>6.3109999999999999</v>
      </c>
      <c r="K346" s="64">
        <f>6.3111 * CHOOSE(CONTROL!$C$22, $C$13, 100%, $E$13)</f>
        <v>6.3110999999999997</v>
      </c>
    </row>
    <row r="347" spans="1:11" ht="15">
      <c r="A347" s="13">
        <v>52201</v>
      </c>
      <c r="B347" s="63">
        <f>5.4713 * CHOOSE(CONTROL!$C$22, $C$13, 100%, $E$13)</f>
        <v>5.4713000000000003</v>
      </c>
      <c r="C347" s="63">
        <f>5.4713 * CHOOSE(CONTROL!$C$22, $C$13, 100%, $E$13)</f>
        <v>5.4713000000000003</v>
      </c>
      <c r="D347" s="63">
        <f>5.4912 * CHOOSE(CONTROL!$C$22, $C$13, 100%, $E$13)</f>
        <v>5.4912000000000001</v>
      </c>
      <c r="E347" s="64">
        <f>6.2752 * CHOOSE(CONTROL!$C$22, $C$13, 100%, $E$13)</f>
        <v>6.2751999999999999</v>
      </c>
      <c r="F347" s="64">
        <f>6.2752 * CHOOSE(CONTROL!$C$22, $C$13, 100%, $E$13)</f>
        <v>6.2751999999999999</v>
      </c>
      <c r="G347" s="64">
        <f>6.2754 * CHOOSE(CONTROL!$C$22, $C$13, 100%, $E$13)</f>
        <v>6.2754000000000003</v>
      </c>
      <c r="H347" s="64">
        <f>11.2247* CHOOSE(CONTROL!$C$22, $C$13, 100%, $E$13)</f>
        <v>11.2247</v>
      </c>
      <c r="I347" s="64">
        <f>11.2248 * CHOOSE(CONTROL!$C$22, $C$13, 100%, $E$13)</f>
        <v>11.2248</v>
      </c>
      <c r="J347" s="64">
        <f>6.2752 * CHOOSE(CONTROL!$C$22, $C$13, 100%, $E$13)</f>
        <v>6.2751999999999999</v>
      </c>
      <c r="K347" s="64">
        <f>6.2754 * CHOOSE(CONTROL!$C$22, $C$13, 100%, $E$13)</f>
        <v>6.2754000000000003</v>
      </c>
    </row>
    <row r="348" spans="1:11" ht="15">
      <c r="A348" s="13">
        <v>52232</v>
      </c>
      <c r="B348" s="63">
        <f>5.5212 * CHOOSE(CONTROL!$C$22, $C$13, 100%, $E$13)</f>
        <v>5.5212000000000003</v>
      </c>
      <c r="C348" s="63">
        <f>5.5212 * CHOOSE(CONTROL!$C$22, $C$13, 100%, $E$13)</f>
        <v>5.5212000000000003</v>
      </c>
      <c r="D348" s="63">
        <f>5.5412 * CHOOSE(CONTROL!$C$22, $C$13, 100%, $E$13)</f>
        <v>5.5411999999999999</v>
      </c>
      <c r="E348" s="64">
        <f>6.358 * CHOOSE(CONTROL!$C$22, $C$13, 100%, $E$13)</f>
        <v>6.3579999999999997</v>
      </c>
      <c r="F348" s="64">
        <f>6.358 * CHOOSE(CONTROL!$C$22, $C$13, 100%, $E$13)</f>
        <v>6.3579999999999997</v>
      </c>
      <c r="G348" s="64">
        <f>6.3582 * CHOOSE(CONTROL!$C$22, $C$13, 100%, $E$13)</f>
        <v>6.3582000000000001</v>
      </c>
      <c r="H348" s="64">
        <f>11.2481* CHOOSE(CONTROL!$C$22, $C$13, 100%, $E$13)</f>
        <v>11.248100000000001</v>
      </c>
      <c r="I348" s="64">
        <f>11.2482 * CHOOSE(CONTROL!$C$22, $C$13, 100%, $E$13)</f>
        <v>11.248200000000001</v>
      </c>
      <c r="J348" s="64">
        <f>6.358 * CHOOSE(CONTROL!$C$22, $C$13, 100%, $E$13)</f>
        <v>6.3579999999999997</v>
      </c>
      <c r="K348" s="64">
        <f>6.3582 * CHOOSE(CONTROL!$C$22, $C$13, 100%, $E$13)</f>
        <v>6.3582000000000001</v>
      </c>
    </row>
    <row r="349" spans="1:11" ht="15">
      <c r="A349" s="13">
        <v>52263</v>
      </c>
      <c r="B349" s="63">
        <f>5.5182 * CHOOSE(CONTROL!$C$22, $C$13, 100%, $E$13)</f>
        <v>5.5182000000000002</v>
      </c>
      <c r="C349" s="63">
        <f>5.5182 * CHOOSE(CONTROL!$C$22, $C$13, 100%, $E$13)</f>
        <v>5.5182000000000002</v>
      </c>
      <c r="D349" s="63">
        <f>5.5381 * CHOOSE(CONTROL!$C$22, $C$13, 100%, $E$13)</f>
        <v>5.5381</v>
      </c>
      <c r="E349" s="64">
        <f>6.2865 * CHOOSE(CONTROL!$C$22, $C$13, 100%, $E$13)</f>
        <v>6.2865000000000002</v>
      </c>
      <c r="F349" s="64">
        <f>6.2865 * CHOOSE(CONTROL!$C$22, $C$13, 100%, $E$13)</f>
        <v>6.2865000000000002</v>
      </c>
      <c r="G349" s="64">
        <f>6.2867 * CHOOSE(CONTROL!$C$22, $C$13, 100%, $E$13)</f>
        <v>6.2866999999999997</v>
      </c>
      <c r="H349" s="64">
        <f>11.2715* CHOOSE(CONTROL!$C$22, $C$13, 100%, $E$13)</f>
        <v>11.2715</v>
      </c>
      <c r="I349" s="64">
        <f>11.2717 * CHOOSE(CONTROL!$C$22, $C$13, 100%, $E$13)</f>
        <v>11.271699999999999</v>
      </c>
      <c r="J349" s="64">
        <f>6.2865 * CHOOSE(CONTROL!$C$22, $C$13, 100%, $E$13)</f>
        <v>6.2865000000000002</v>
      </c>
      <c r="K349" s="64">
        <f>6.2867 * CHOOSE(CONTROL!$C$22, $C$13, 100%, $E$13)</f>
        <v>6.2866999999999997</v>
      </c>
    </row>
    <row r="350" spans="1:11" ht="15">
      <c r="A350" s="13">
        <v>52291</v>
      </c>
      <c r="B350" s="63">
        <f>5.5151 * CHOOSE(CONTROL!$C$22, $C$13, 100%, $E$13)</f>
        <v>5.5151000000000003</v>
      </c>
      <c r="C350" s="63">
        <f>5.5151 * CHOOSE(CONTROL!$C$22, $C$13, 100%, $E$13)</f>
        <v>5.5151000000000003</v>
      </c>
      <c r="D350" s="63">
        <f>5.5351 * CHOOSE(CONTROL!$C$22, $C$13, 100%, $E$13)</f>
        <v>5.5350999999999999</v>
      </c>
      <c r="E350" s="64">
        <f>6.3391 * CHOOSE(CONTROL!$C$22, $C$13, 100%, $E$13)</f>
        <v>6.3391000000000002</v>
      </c>
      <c r="F350" s="64">
        <f>6.3391 * CHOOSE(CONTROL!$C$22, $C$13, 100%, $E$13)</f>
        <v>6.3391000000000002</v>
      </c>
      <c r="G350" s="64">
        <f>6.3393 * CHOOSE(CONTROL!$C$22, $C$13, 100%, $E$13)</f>
        <v>6.3392999999999997</v>
      </c>
      <c r="H350" s="64">
        <f>11.295* CHOOSE(CONTROL!$C$22, $C$13, 100%, $E$13)</f>
        <v>11.295</v>
      </c>
      <c r="I350" s="64">
        <f>11.2951 * CHOOSE(CONTROL!$C$22, $C$13, 100%, $E$13)</f>
        <v>11.2951</v>
      </c>
      <c r="J350" s="64">
        <f>6.3391 * CHOOSE(CONTROL!$C$22, $C$13, 100%, $E$13)</f>
        <v>6.3391000000000002</v>
      </c>
      <c r="K350" s="64">
        <f>6.3393 * CHOOSE(CONTROL!$C$22, $C$13, 100%, $E$13)</f>
        <v>6.3392999999999997</v>
      </c>
    </row>
    <row r="351" spans="1:11" ht="15">
      <c r="A351" s="13">
        <v>52322</v>
      </c>
      <c r="B351" s="63">
        <f>5.5142 * CHOOSE(CONTROL!$C$22, $C$13, 100%, $E$13)</f>
        <v>5.5141999999999998</v>
      </c>
      <c r="C351" s="63">
        <f>5.5142 * CHOOSE(CONTROL!$C$22, $C$13, 100%, $E$13)</f>
        <v>5.5141999999999998</v>
      </c>
      <c r="D351" s="63">
        <f>5.5341 * CHOOSE(CONTROL!$C$22, $C$13, 100%, $E$13)</f>
        <v>5.5340999999999996</v>
      </c>
      <c r="E351" s="64">
        <f>6.3936 * CHOOSE(CONTROL!$C$22, $C$13, 100%, $E$13)</f>
        <v>6.3936000000000002</v>
      </c>
      <c r="F351" s="64">
        <f>6.3936 * CHOOSE(CONTROL!$C$22, $C$13, 100%, $E$13)</f>
        <v>6.3936000000000002</v>
      </c>
      <c r="G351" s="64">
        <f>6.3938 * CHOOSE(CONTROL!$C$22, $C$13, 100%, $E$13)</f>
        <v>6.3937999999999997</v>
      </c>
      <c r="H351" s="64">
        <f>11.3185* CHOOSE(CONTROL!$C$22, $C$13, 100%, $E$13)</f>
        <v>11.3185</v>
      </c>
      <c r="I351" s="64">
        <f>11.3187 * CHOOSE(CONTROL!$C$22, $C$13, 100%, $E$13)</f>
        <v>11.3187</v>
      </c>
      <c r="J351" s="64">
        <f>6.3936 * CHOOSE(CONTROL!$C$22, $C$13, 100%, $E$13)</f>
        <v>6.3936000000000002</v>
      </c>
      <c r="K351" s="64">
        <f>6.3938 * CHOOSE(CONTROL!$C$22, $C$13, 100%, $E$13)</f>
        <v>6.3937999999999997</v>
      </c>
    </row>
    <row r="352" spans="1:11" ht="15">
      <c r="A352" s="13">
        <v>52352</v>
      </c>
      <c r="B352" s="63">
        <f>5.5142 * CHOOSE(CONTROL!$C$22, $C$13, 100%, $E$13)</f>
        <v>5.5141999999999998</v>
      </c>
      <c r="C352" s="63">
        <f>5.5142 * CHOOSE(CONTROL!$C$22, $C$13, 100%, $E$13)</f>
        <v>5.5141999999999998</v>
      </c>
      <c r="D352" s="63">
        <f>5.5541 * CHOOSE(CONTROL!$C$22, $C$13, 100%, $E$13)</f>
        <v>5.5541</v>
      </c>
      <c r="E352" s="64">
        <f>6.4157 * CHOOSE(CONTROL!$C$22, $C$13, 100%, $E$13)</f>
        <v>6.4157000000000002</v>
      </c>
      <c r="F352" s="64">
        <f>6.4157 * CHOOSE(CONTROL!$C$22, $C$13, 100%, $E$13)</f>
        <v>6.4157000000000002</v>
      </c>
      <c r="G352" s="64">
        <f>6.4181 * CHOOSE(CONTROL!$C$22, $C$13, 100%, $E$13)</f>
        <v>6.4180999999999999</v>
      </c>
      <c r="H352" s="64">
        <f>11.3421* CHOOSE(CONTROL!$C$22, $C$13, 100%, $E$13)</f>
        <v>11.3421</v>
      </c>
      <c r="I352" s="64">
        <f>11.3445 * CHOOSE(CONTROL!$C$22, $C$13, 100%, $E$13)</f>
        <v>11.3445</v>
      </c>
      <c r="J352" s="64">
        <f>6.4157 * CHOOSE(CONTROL!$C$22, $C$13, 100%, $E$13)</f>
        <v>6.4157000000000002</v>
      </c>
      <c r="K352" s="64">
        <f>6.4181 * CHOOSE(CONTROL!$C$22, $C$13, 100%, $E$13)</f>
        <v>6.4180999999999999</v>
      </c>
    </row>
    <row r="353" spans="1:11" ht="15">
      <c r="A353" s="13">
        <v>52383</v>
      </c>
      <c r="B353" s="63">
        <f>5.5202 * CHOOSE(CONTROL!$C$22, $C$13, 100%, $E$13)</f>
        <v>5.5202</v>
      </c>
      <c r="C353" s="63">
        <f>5.5202 * CHOOSE(CONTROL!$C$22, $C$13, 100%, $E$13)</f>
        <v>5.5202</v>
      </c>
      <c r="D353" s="63">
        <f>5.5602 * CHOOSE(CONTROL!$C$22, $C$13, 100%, $E$13)</f>
        <v>5.5602</v>
      </c>
      <c r="E353" s="64">
        <f>6.3979 * CHOOSE(CONTROL!$C$22, $C$13, 100%, $E$13)</f>
        <v>6.3978999999999999</v>
      </c>
      <c r="F353" s="64">
        <f>6.3979 * CHOOSE(CONTROL!$C$22, $C$13, 100%, $E$13)</f>
        <v>6.3978999999999999</v>
      </c>
      <c r="G353" s="64">
        <f>6.4003 * CHOOSE(CONTROL!$C$22, $C$13, 100%, $E$13)</f>
        <v>6.4002999999999997</v>
      </c>
      <c r="H353" s="64">
        <f>11.3657* CHOOSE(CONTROL!$C$22, $C$13, 100%, $E$13)</f>
        <v>11.3657</v>
      </c>
      <c r="I353" s="64">
        <f>11.3682 * CHOOSE(CONTROL!$C$22, $C$13, 100%, $E$13)</f>
        <v>11.3682</v>
      </c>
      <c r="J353" s="64">
        <f>6.3979 * CHOOSE(CONTROL!$C$22, $C$13, 100%, $E$13)</f>
        <v>6.3978999999999999</v>
      </c>
      <c r="K353" s="64">
        <f>6.4003 * CHOOSE(CONTROL!$C$22, $C$13, 100%, $E$13)</f>
        <v>6.4002999999999997</v>
      </c>
    </row>
    <row r="354" spans="1:11" ht="15">
      <c r="A354" s="13">
        <v>52413</v>
      </c>
      <c r="B354" s="63">
        <f>5.6132 * CHOOSE(CONTROL!$C$22, $C$13, 100%, $E$13)</f>
        <v>5.6132</v>
      </c>
      <c r="C354" s="63">
        <f>5.6132 * CHOOSE(CONTROL!$C$22, $C$13, 100%, $E$13)</f>
        <v>5.6132</v>
      </c>
      <c r="D354" s="63">
        <f>5.6531 * CHOOSE(CONTROL!$C$22, $C$13, 100%, $E$13)</f>
        <v>5.6531000000000002</v>
      </c>
      <c r="E354" s="64">
        <f>6.5257 * CHOOSE(CONTROL!$C$22, $C$13, 100%, $E$13)</f>
        <v>6.5256999999999996</v>
      </c>
      <c r="F354" s="64">
        <f>6.5257 * CHOOSE(CONTROL!$C$22, $C$13, 100%, $E$13)</f>
        <v>6.5256999999999996</v>
      </c>
      <c r="G354" s="64">
        <f>6.5282 * CHOOSE(CONTROL!$C$22, $C$13, 100%, $E$13)</f>
        <v>6.5282</v>
      </c>
      <c r="H354" s="64">
        <f>11.3894* CHOOSE(CONTROL!$C$22, $C$13, 100%, $E$13)</f>
        <v>11.3894</v>
      </c>
      <c r="I354" s="64">
        <f>11.3918 * CHOOSE(CONTROL!$C$22, $C$13, 100%, $E$13)</f>
        <v>11.3918</v>
      </c>
      <c r="J354" s="64">
        <f>6.5257 * CHOOSE(CONTROL!$C$22, $C$13, 100%, $E$13)</f>
        <v>6.5256999999999996</v>
      </c>
      <c r="K354" s="64">
        <f>6.5282 * CHOOSE(CONTROL!$C$22, $C$13, 100%, $E$13)</f>
        <v>6.5282</v>
      </c>
    </row>
    <row r="355" spans="1:11" ht="15">
      <c r="A355" s="13">
        <v>52444</v>
      </c>
      <c r="B355" s="63">
        <f>5.6199 * CHOOSE(CONTROL!$C$22, $C$13, 100%, $E$13)</f>
        <v>5.6199000000000003</v>
      </c>
      <c r="C355" s="63">
        <f>5.6199 * CHOOSE(CONTROL!$C$22, $C$13, 100%, $E$13)</f>
        <v>5.6199000000000003</v>
      </c>
      <c r="D355" s="63">
        <f>5.6598 * CHOOSE(CONTROL!$C$22, $C$13, 100%, $E$13)</f>
        <v>5.6597999999999997</v>
      </c>
      <c r="E355" s="64">
        <f>6.4643 * CHOOSE(CONTROL!$C$22, $C$13, 100%, $E$13)</f>
        <v>6.4642999999999997</v>
      </c>
      <c r="F355" s="64">
        <f>6.4643 * CHOOSE(CONTROL!$C$22, $C$13, 100%, $E$13)</f>
        <v>6.4642999999999997</v>
      </c>
      <c r="G355" s="64">
        <f>6.4667 * CHOOSE(CONTROL!$C$22, $C$13, 100%, $E$13)</f>
        <v>6.4667000000000003</v>
      </c>
      <c r="H355" s="64">
        <f>11.4131* CHOOSE(CONTROL!$C$22, $C$13, 100%, $E$13)</f>
        <v>11.4131</v>
      </c>
      <c r="I355" s="64">
        <f>11.4156 * CHOOSE(CONTROL!$C$22, $C$13, 100%, $E$13)</f>
        <v>11.4156</v>
      </c>
      <c r="J355" s="64">
        <f>6.4643 * CHOOSE(CONTROL!$C$22, $C$13, 100%, $E$13)</f>
        <v>6.4642999999999997</v>
      </c>
      <c r="K355" s="64">
        <f>6.4667 * CHOOSE(CONTROL!$C$22, $C$13, 100%, $E$13)</f>
        <v>6.4667000000000003</v>
      </c>
    </row>
    <row r="356" spans="1:11" ht="15">
      <c r="A356" s="13">
        <v>52475</v>
      </c>
      <c r="B356" s="63">
        <f>5.6168 * CHOOSE(CONTROL!$C$22, $C$13, 100%, $E$13)</f>
        <v>5.6167999999999996</v>
      </c>
      <c r="C356" s="63">
        <f>5.6168 * CHOOSE(CONTROL!$C$22, $C$13, 100%, $E$13)</f>
        <v>5.6167999999999996</v>
      </c>
      <c r="D356" s="63">
        <f>5.6568 * CHOOSE(CONTROL!$C$22, $C$13, 100%, $E$13)</f>
        <v>5.6567999999999996</v>
      </c>
      <c r="E356" s="64">
        <f>6.4548 * CHOOSE(CONTROL!$C$22, $C$13, 100%, $E$13)</f>
        <v>6.4547999999999996</v>
      </c>
      <c r="F356" s="64">
        <f>6.4548 * CHOOSE(CONTROL!$C$22, $C$13, 100%, $E$13)</f>
        <v>6.4547999999999996</v>
      </c>
      <c r="G356" s="64">
        <f>6.4572 * CHOOSE(CONTROL!$C$22, $C$13, 100%, $E$13)</f>
        <v>6.4572000000000003</v>
      </c>
      <c r="H356" s="64">
        <f>11.4369* CHOOSE(CONTROL!$C$22, $C$13, 100%, $E$13)</f>
        <v>11.4369</v>
      </c>
      <c r="I356" s="64">
        <f>11.4393 * CHOOSE(CONTROL!$C$22, $C$13, 100%, $E$13)</f>
        <v>11.439299999999999</v>
      </c>
      <c r="J356" s="64">
        <f>6.4548 * CHOOSE(CONTROL!$C$22, $C$13, 100%, $E$13)</f>
        <v>6.4547999999999996</v>
      </c>
      <c r="K356" s="64">
        <f>6.4572 * CHOOSE(CONTROL!$C$22, $C$13, 100%, $E$13)</f>
        <v>6.4572000000000003</v>
      </c>
    </row>
    <row r="357" spans="1:11" ht="15">
      <c r="A357" s="13">
        <v>52505</v>
      </c>
      <c r="B357" s="63">
        <f>5.6175 * CHOOSE(CONTROL!$C$22, $C$13, 100%, $E$13)</f>
        <v>5.6174999999999997</v>
      </c>
      <c r="C357" s="63">
        <f>5.6175 * CHOOSE(CONTROL!$C$22, $C$13, 100%, $E$13)</f>
        <v>5.6174999999999997</v>
      </c>
      <c r="D357" s="63">
        <f>5.6375 * CHOOSE(CONTROL!$C$22, $C$13, 100%, $E$13)</f>
        <v>5.6375000000000002</v>
      </c>
      <c r="E357" s="64">
        <f>6.4708 * CHOOSE(CONTROL!$C$22, $C$13, 100%, $E$13)</f>
        <v>6.4707999999999997</v>
      </c>
      <c r="F357" s="64">
        <f>6.4708 * CHOOSE(CONTROL!$C$22, $C$13, 100%, $E$13)</f>
        <v>6.4707999999999997</v>
      </c>
      <c r="G357" s="64">
        <f>6.4709 * CHOOSE(CONTROL!$C$22, $C$13, 100%, $E$13)</f>
        <v>6.4709000000000003</v>
      </c>
      <c r="H357" s="64">
        <f>11.4607* CHOOSE(CONTROL!$C$22, $C$13, 100%, $E$13)</f>
        <v>11.460699999999999</v>
      </c>
      <c r="I357" s="64">
        <f>11.4609 * CHOOSE(CONTROL!$C$22, $C$13, 100%, $E$13)</f>
        <v>11.460900000000001</v>
      </c>
      <c r="J357" s="64">
        <f>6.4708 * CHOOSE(CONTROL!$C$22, $C$13, 100%, $E$13)</f>
        <v>6.4707999999999997</v>
      </c>
      <c r="K357" s="64">
        <f>6.4709 * CHOOSE(CONTROL!$C$22, $C$13, 100%, $E$13)</f>
        <v>6.4709000000000003</v>
      </c>
    </row>
    <row r="358" spans="1:11" ht="15">
      <c r="A358" s="13">
        <v>52536</v>
      </c>
      <c r="B358" s="63">
        <f>5.6206 * CHOOSE(CONTROL!$C$22, $C$13, 100%, $E$13)</f>
        <v>5.6205999999999996</v>
      </c>
      <c r="C358" s="63">
        <f>5.6206 * CHOOSE(CONTROL!$C$22, $C$13, 100%, $E$13)</f>
        <v>5.6205999999999996</v>
      </c>
      <c r="D358" s="63">
        <f>5.6405 * CHOOSE(CONTROL!$C$22, $C$13, 100%, $E$13)</f>
        <v>5.6405000000000003</v>
      </c>
      <c r="E358" s="64">
        <f>6.4876 * CHOOSE(CONTROL!$C$22, $C$13, 100%, $E$13)</f>
        <v>6.4875999999999996</v>
      </c>
      <c r="F358" s="64">
        <f>6.4876 * CHOOSE(CONTROL!$C$22, $C$13, 100%, $E$13)</f>
        <v>6.4875999999999996</v>
      </c>
      <c r="G358" s="64">
        <f>6.4877 * CHOOSE(CONTROL!$C$22, $C$13, 100%, $E$13)</f>
        <v>6.4877000000000002</v>
      </c>
      <c r="H358" s="64">
        <f>11.4846* CHOOSE(CONTROL!$C$22, $C$13, 100%, $E$13)</f>
        <v>11.4846</v>
      </c>
      <c r="I358" s="64">
        <f>11.4848 * CHOOSE(CONTROL!$C$22, $C$13, 100%, $E$13)</f>
        <v>11.4848</v>
      </c>
      <c r="J358" s="64">
        <f>6.4876 * CHOOSE(CONTROL!$C$22, $C$13, 100%, $E$13)</f>
        <v>6.4875999999999996</v>
      </c>
      <c r="K358" s="64">
        <f>6.4877 * CHOOSE(CONTROL!$C$22, $C$13, 100%, $E$13)</f>
        <v>6.4877000000000002</v>
      </c>
    </row>
    <row r="359" spans="1:11" ht="15">
      <c r="A359" s="13">
        <v>52566</v>
      </c>
      <c r="B359" s="63">
        <f>5.6206 * CHOOSE(CONTROL!$C$22, $C$13, 100%, $E$13)</f>
        <v>5.6205999999999996</v>
      </c>
      <c r="C359" s="63">
        <f>5.6206 * CHOOSE(CONTROL!$C$22, $C$13, 100%, $E$13)</f>
        <v>5.6205999999999996</v>
      </c>
      <c r="D359" s="63">
        <f>5.6405 * CHOOSE(CONTROL!$C$22, $C$13, 100%, $E$13)</f>
        <v>5.6405000000000003</v>
      </c>
      <c r="E359" s="64">
        <f>6.4508 * CHOOSE(CONTROL!$C$22, $C$13, 100%, $E$13)</f>
        <v>6.4508000000000001</v>
      </c>
      <c r="F359" s="64">
        <f>6.4508 * CHOOSE(CONTROL!$C$22, $C$13, 100%, $E$13)</f>
        <v>6.4508000000000001</v>
      </c>
      <c r="G359" s="64">
        <f>6.451 * CHOOSE(CONTROL!$C$22, $C$13, 100%, $E$13)</f>
        <v>6.4509999999999996</v>
      </c>
      <c r="H359" s="64">
        <f>11.5085* CHOOSE(CONTROL!$C$22, $C$13, 100%, $E$13)</f>
        <v>11.5085</v>
      </c>
      <c r="I359" s="64">
        <f>11.5087 * CHOOSE(CONTROL!$C$22, $C$13, 100%, $E$13)</f>
        <v>11.508699999999999</v>
      </c>
      <c r="J359" s="64">
        <f>6.4508 * CHOOSE(CONTROL!$C$22, $C$13, 100%, $E$13)</f>
        <v>6.4508000000000001</v>
      </c>
      <c r="K359" s="64">
        <f>6.451 * CHOOSE(CONTROL!$C$22, $C$13, 100%, $E$13)</f>
        <v>6.4509999999999996</v>
      </c>
    </row>
    <row r="360" spans="1:11" ht="15">
      <c r="A360" s="13">
        <v>52597</v>
      </c>
      <c r="B360" s="63">
        <f>5.6717 * CHOOSE(CONTROL!$C$22, $C$13, 100%, $E$13)</f>
        <v>5.6717000000000004</v>
      </c>
      <c r="C360" s="63">
        <f>5.6717 * CHOOSE(CONTROL!$C$22, $C$13, 100%, $E$13)</f>
        <v>5.6717000000000004</v>
      </c>
      <c r="D360" s="63">
        <f>5.6916 * CHOOSE(CONTROL!$C$22, $C$13, 100%, $E$13)</f>
        <v>5.6916000000000002</v>
      </c>
      <c r="E360" s="64">
        <f>6.5359 * CHOOSE(CONTROL!$C$22, $C$13, 100%, $E$13)</f>
        <v>6.5358999999999998</v>
      </c>
      <c r="F360" s="64">
        <f>6.5359 * CHOOSE(CONTROL!$C$22, $C$13, 100%, $E$13)</f>
        <v>6.5358999999999998</v>
      </c>
      <c r="G360" s="64">
        <f>6.5361 * CHOOSE(CONTROL!$C$22, $C$13, 100%, $E$13)</f>
        <v>6.5361000000000002</v>
      </c>
      <c r="H360" s="64">
        <f>11.5325* CHOOSE(CONTROL!$C$22, $C$13, 100%, $E$13)</f>
        <v>11.532500000000001</v>
      </c>
      <c r="I360" s="64">
        <f>11.5327 * CHOOSE(CONTROL!$C$22, $C$13, 100%, $E$13)</f>
        <v>11.5327</v>
      </c>
      <c r="J360" s="64">
        <f>6.5359 * CHOOSE(CONTROL!$C$22, $C$13, 100%, $E$13)</f>
        <v>6.5358999999999998</v>
      </c>
      <c r="K360" s="64">
        <f>6.5361 * CHOOSE(CONTROL!$C$22, $C$13, 100%, $E$13)</f>
        <v>6.5361000000000002</v>
      </c>
    </row>
    <row r="361" spans="1:11" ht="15">
      <c r="A361" s="13">
        <v>52628</v>
      </c>
      <c r="B361" s="63">
        <f>5.6686 * CHOOSE(CONTROL!$C$22, $C$13, 100%, $E$13)</f>
        <v>5.6685999999999996</v>
      </c>
      <c r="C361" s="63">
        <f>5.6686 * CHOOSE(CONTROL!$C$22, $C$13, 100%, $E$13)</f>
        <v>5.6685999999999996</v>
      </c>
      <c r="D361" s="63">
        <f>5.6886 * CHOOSE(CONTROL!$C$22, $C$13, 100%, $E$13)</f>
        <v>5.6886000000000001</v>
      </c>
      <c r="E361" s="64">
        <f>6.4624 * CHOOSE(CONTROL!$C$22, $C$13, 100%, $E$13)</f>
        <v>6.4623999999999997</v>
      </c>
      <c r="F361" s="64">
        <f>6.4624 * CHOOSE(CONTROL!$C$22, $C$13, 100%, $E$13)</f>
        <v>6.4623999999999997</v>
      </c>
      <c r="G361" s="64">
        <f>6.4626 * CHOOSE(CONTROL!$C$22, $C$13, 100%, $E$13)</f>
        <v>6.4626000000000001</v>
      </c>
      <c r="H361" s="64">
        <f>11.5565* CHOOSE(CONTROL!$C$22, $C$13, 100%, $E$13)</f>
        <v>11.5565</v>
      </c>
      <c r="I361" s="64">
        <f>11.5567 * CHOOSE(CONTROL!$C$22, $C$13, 100%, $E$13)</f>
        <v>11.556699999999999</v>
      </c>
      <c r="J361" s="64">
        <f>6.4624 * CHOOSE(CONTROL!$C$22, $C$13, 100%, $E$13)</f>
        <v>6.4623999999999997</v>
      </c>
      <c r="K361" s="64">
        <f>6.4626 * CHOOSE(CONTROL!$C$22, $C$13, 100%, $E$13)</f>
        <v>6.4626000000000001</v>
      </c>
    </row>
    <row r="362" spans="1:11" ht="15">
      <c r="A362" s="13">
        <v>52657</v>
      </c>
      <c r="B362" s="63">
        <f>5.6656 * CHOOSE(CONTROL!$C$22, $C$13, 100%, $E$13)</f>
        <v>5.6656000000000004</v>
      </c>
      <c r="C362" s="63">
        <f>5.6656 * CHOOSE(CONTROL!$C$22, $C$13, 100%, $E$13)</f>
        <v>5.6656000000000004</v>
      </c>
      <c r="D362" s="63">
        <f>5.6856 * CHOOSE(CONTROL!$C$22, $C$13, 100%, $E$13)</f>
        <v>5.6856</v>
      </c>
      <c r="E362" s="64">
        <f>6.5166 * CHOOSE(CONTROL!$C$22, $C$13, 100%, $E$13)</f>
        <v>6.5166000000000004</v>
      </c>
      <c r="F362" s="64">
        <f>6.5166 * CHOOSE(CONTROL!$C$22, $C$13, 100%, $E$13)</f>
        <v>6.5166000000000004</v>
      </c>
      <c r="G362" s="64">
        <f>6.5167 * CHOOSE(CONTROL!$C$22, $C$13, 100%, $E$13)</f>
        <v>6.5167000000000002</v>
      </c>
      <c r="H362" s="64">
        <f>11.5806* CHOOSE(CONTROL!$C$22, $C$13, 100%, $E$13)</f>
        <v>11.5806</v>
      </c>
      <c r="I362" s="64">
        <f>11.5808 * CHOOSE(CONTROL!$C$22, $C$13, 100%, $E$13)</f>
        <v>11.5808</v>
      </c>
      <c r="J362" s="64">
        <f>6.5166 * CHOOSE(CONTROL!$C$22, $C$13, 100%, $E$13)</f>
        <v>6.5166000000000004</v>
      </c>
      <c r="K362" s="64">
        <f>6.5167 * CHOOSE(CONTROL!$C$22, $C$13, 100%, $E$13)</f>
        <v>6.5167000000000002</v>
      </c>
    </row>
    <row r="363" spans="1:11" ht="15">
      <c r="A363" s="13">
        <v>52688</v>
      </c>
      <c r="B363" s="63">
        <f>5.6648 * CHOOSE(CONTROL!$C$22, $C$13, 100%, $E$13)</f>
        <v>5.6647999999999996</v>
      </c>
      <c r="C363" s="63">
        <f>5.6648 * CHOOSE(CONTROL!$C$22, $C$13, 100%, $E$13)</f>
        <v>5.6647999999999996</v>
      </c>
      <c r="D363" s="63">
        <f>5.6847 * CHOOSE(CONTROL!$C$22, $C$13, 100%, $E$13)</f>
        <v>5.6847000000000003</v>
      </c>
      <c r="E363" s="64">
        <f>6.5727 * CHOOSE(CONTROL!$C$22, $C$13, 100%, $E$13)</f>
        <v>6.5727000000000002</v>
      </c>
      <c r="F363" s="64">
        <f>6.5727 * CHOOSE(CONTROL!$C$22, $C$13, 100%, $E$13)</f>
        <v>6.5727000000000002</v>
      </c>
      <c r="G363" s="64">
        <f>6.5729 * CHOOSE(CONTROL!$C$22, $C$13, 100%, $E$13)</f>
        <v>6.5728999999999997</v>
      </c>
      <c r="H363" s="64">
        <f>11.6047* CHOOSE(CONTROL!$C$22, $C$13, 100%, $E$13)</f>
        <v>11.604699999999999</v>
      </c>
      <c r="I363" s="64">
        <f>11.6049 * CHOOSE(CONTROL!$C$22, $C$13, 100%, $E$13)</f>
        <v>11.604900000000001</v>
      </c>
      <c r="J363" s="64">
        <f>6.5727 * CHOOSE(CONTROL!$C$22, $C$13, 100%, $E$13)</f>
        <v>6.5727000000000002</v>
      </c>
      <c r="K363" s="64">
        <f>6.5729 * CHOOSE(CONTROL!$C$22, $C$13, 100%, $E$13)</f>
        <v>6.5728999999999997</v>
      </c>
    </row>
    <row r="364" spans="1:11" ht="15">
      <c r="A364" s="13">
        <v>52718</v>
      </c>
      <c r="B364" s="63">
        <f>5.6648 * CHOOSE(CONTROL!$C$22, $C$13, 100%, $E$13)</f>
        <v>5.6647999999999996</v>
      </c>
      <c r="C364" s="63">
        <f>5.6648 * CHOOSE(CONTROL!$C$22, $C$13, 100%, $E$13)</f>
        <v>5.6647999999999996</v>
      </c>
      <c r="D364" s="63">
        <f>5.7047 * CHOOSE(CONTROL!$C$22, $C$13, 100%, $E$13)</f>
        <v>5.7046999999999999</v>
      </c>
      <c r="E364" s="64">
        <f>6.5954 * CHOOSE(CONTROL!$C$22, $C$13, 100%, $E$13)</f>
        <v>6.5953999999999997</v>
      </c>
      <c r="F364" s="64">
        <f>6.5954 * CHOOSE(CONTROL!$C$22, $C$13, 100%, $E$13)</f>
        <v>6.5953999999999997</v>
      </c>
      <c r="G364" s="64">
        <f>6.5978 * CHOOSE(CONTROL!$C$22, $C$13, 100%, $E$13)</f>
        <v>6.5978000000000003</v>
      </c>
      <c r="H364" s="64">
        <f>11.6289* CHOOSE(CONTROL!$C$22, $C$13, 100%, $E$13)</f>
        <v>11.6289</v>
      </c>
      <c r="I364" s="64">
        <f>11.6313 * CHOOSE(CONTROL!$C$22, $C$13, 100%, $E$13)</f>
        <v>11.6313</v>
      </c>
      <c r="J364" s="64">
        <f>6.5954 * CHOOSE(CONTROL!$C$22, $C$13, 100%, $E$13)</f>
        <v>6.5953999999999997</v>
      </c>
      <c r="K364" s="64">
        <f>6.5978 * CHOOSE(CONTROL!$C$22, $C$13, 100%, $E$13)</f>
        <v>6.5978000000000003</v>
      </c>
    </row>
    <row r="365" spans="1:11" ht="15">
      <c r="A365" s="13">
        <v>52749</v>
      </c>
      <c r="B365" s="63">
        <f>5.6708 * CHOOSE(CONTROL!$C$22, $C$13, 100%, $E$13)</f>
        <v>5.6707999999999998</v>
      </c>
      <c r="C365" s="63">
        <f>5.6708 * CHOOSE(CONTROL!$C$22, $C$13, 100%, $E$13)</f>
        <v>5.6707999999999998</v>
      </c>
      <c r="D365" s="63">
        <f>5.7108 * CHOOSE(CONTROL!$C$22, $C$13, 100%, $E$13)</f>
        <v>5.7107999999999999</v>
      </c>
      <c r="E365" s="64">
        <f>6.577 * CHOOSE(CONTROL!$C$22, $C$13, 100%, $E$13)</f>
        <v>6.577</v>
      </c>
      <c r="F365" s="64">
        <f>6.577 * CHOOSE(CONTROL!$C$22, $C$13, 100%, $E$13)</f>
        <v>6.577</v>
      </c>
      <c r="G365" s="64">
        <f>6.5794 * CHOOSE(CONTROL!$C$22, $C$13, 100%, $E$13)</f>
        <v>6.5793999999999997</v>
      </c>
      <c r="H365" s="64">
        <f>11.6531* CHOOSE(CONTROL!$C$22, $C$13, 100%, $E$13)</f>
        <v>11.6531</v>
      </c>
      <c r="I365" s="64">
        <f>11.6556 * CHOOSE(CONTROL!$C$22, $C$13, 100%, $E$13)</f>
        <v>11.6556</v>
      </c>
      <c r="J365" s="64">
        <f>6.577 * CHOOSE(CONTROL!$C$22, $C$13, 100%, $E$13)</f>
        <v>6.577</v>
      </c>
      <c r="K365" s="64">
        <f>6.5794 * CHOOSE(CONTROL!$C$22, $C$13, 100%, $E$13)</f>
        <v>6.5793999999999997</v>
      </c>
    </row>
    <row r="366" spans="1:11" ht="15">
      <c r="A366" s="13">
        <v>52779</v>
      </c>
      <c r="B366" s="63">
        <f>5.7658 * CHOOSE(CONTROL!$C$22, $C$13, 100%, $E$13)</f>
        <v>5.7657999999999996</v>
      </c>
      <c r="C366" s="63">
        <f>5.7658 * CHOOSE(CONTROL!$C$22, $C$13, 100%, $E$13)</f>
        <v>5.7657999999999996</v>
      </c>
      <c r="D366" s="63">
        <f>5.8058 * CHOOSE(CONTROL!$C$22, $C$13, 100%, $E$13)</f>
        <v>5.8057999999999996</v>
      </c>
      <c r="E366" s="64">
        <f>6.7082 * CHOOSE(CONTROL!$C$22, $C$13, 100%, $E$13)</f>
        <v>6.7081999999999997</v>
      </c>
      <c r="F366" s="64">
        <f>6.7082 * CHOOSE(CONTROL!$C$22, $C$13, 100%, $E$13)</f>
        <v>6.7081999999999997</v>
      </c>
      <c r="G366" s="64">
        <f>6.7107 * CHOOSE(CONTROL!$C$22, $C$13, 100%, $E$13)</f>
        <v>6.7107000000000001</v>
      </c>
      <c r="H366" s="64">
        <f>11.6774* CHOOSE(CONTROL!$C$22, $C$13, 100%, $E$13)</f>
        <v>11.6774</v>
      </c>
      <c r="I366" s="64">
        <f>11.6799 * CHOOSE(CONTROL!$C$22, $C$13, 100%, $E$13)</f>
        <v>11.6799</v>
      </c>
      <c r="J366" s="64">
        <f>6.7082 * CHOOSE(CONTROL!$C$22, $C$13, 100%, $E$13)</f>
        <v>6.7081999999999997</v>
      </c>
      <c r="K366" s="64">
        <f>6.7107 * CHOOSE(CONTROL!$C$22, $C$13, 100%, $E$13)</f>
        <v>6.7107000000000001</v>
      </c>
    </row>
    <row r="367" spans="1:11" ht="15">
      <c r="A367" s="13">
        <v>52810</v>
      </c>
      <c r="B367" s="63">
        <f>5.7725 * CHOOSE(CONTROL!$C$22, $C$13, 100%, $E$13)</f>
        <v>5.7725</v>
      </c>
      <c r="C367" s="63">
        <f>5.7725 * CHOOSE(CONTROL!$C$22, $C$13, 100%, $E$13)</f>
        <v>5.7725</v>
      </c>
      <c r="D367" s="63">
        <f>5.8124 * CHOOSE(CONTROL!$C$22, $C$13, 100%, $E$13)</f>
        <v>5.8124000000000002</v>
      </c>
      <c r="E367" s="64">
        <f>6.6449 * CHOOSE(CONTROL!$C$22, $C$13, 100%, $E$13)</f>
        <v>6.6448999999999998</v>
      </c>
      <c r="F367" s="64">
        <f>6.6449 * CHOOSE(CONTROL!$C$22, $C$13, 100%, $E$13)</f>
        <v>6.6448999999999998</v>
      </c>
      <c r="G367" s="64">
        <f>6.6474 * CHOOSE(CONTROL!$C$22, $C$13, 100%, $E$13)</f>
        <v>6.6474000000000002</v>
      </c>
      <c r="H367" s="64">
        <f>11.7017* CHOOSE(CONTROL!$C$22, $C$13, 100%, $E$13)</f>
        <v>11.701700000000001</v>
      </c>
      <c r="I367" s="64">
        <f>11.7042 * CHOOSE(CONTROL!$C$22, $C$13, 100%, $E$13)</f>
        <v>11.7042</v>
      </c>
      <c r="J367" s="64">
        <f>6.6449 * CHOOSE(CONTROL!$C$22, $C$13, 100%, $E$13)</f>
        <v>6.6448999999999998</v>
      </c>
      <c r="K367" s="64">
        <f>6.6474 * CHOOSE(CONTROL!$C$22, $C$13, 100%, $E$13)</f>
        <v>6.6474000000000002</v>
      </c>
    </row>
    <row r="368" spans="1:11" ht="15">
      <c r="A368" s="13">
        <v>52841</v>
      </c>
      <c r="B368" s="63">
        <f>5.7695 * CHOOSE(CONTROL!$C$22, $C$13, 100%, $E$13)</f>
        <v>5.7694999999999999</v>
      </c>
      <c r="C368" s="63">
        <f>5.7695 * CHOOSE(CONTROL!$C$22, $C$13, 100%, $E$13)</f>
        <v>5.7694999999999999</v>
      </c>
      <c r="D368" s="63">
        <f>5.8094 * CHOOSE(CONTROL!$C$22, $C$13, 100%, $E$13)</f>
        <v>5.8094000000000001</v>
      </c>
      <c r="E368" s="64">
        <f>6.6352 * CHOOSE(CONTROL!$C$22, $C$13, 100%, $E$13)</f>
        <v>6.6352000000000002</v>
      </c>
      <c r="F368" s="64">
        <f>6.6352 * CHOOSE(CONTROL!$C$22, $C$13, 100%, $E$13)</f>
        <v>6.6352000000000002</v>
      </c>
      <c r="G368" s="64">
        <f>6.6377 * CHOOSE(CONTROL!$C$22, $C$13, 100%, $E$13)</f>
        <v>6.6376999999999997</v>
      </c>
      <c r="H368" s="64">
        <f>11.7261* CHOOSE(CONTROL!$C$22, $C$13, 100%, $E$13)</f>
        <v>11.726100000000001</v>
      </c>
      <c r="I368" s="64">
        <f>11.7286 * CHOOSE(CONTROL!$C$22, $C$13, 100%, $E$13)</f>
        <v>11.7286</v>
      </c>
      <c r="J368" s="64">
        <f>6.6352 * CHOOSE(CONTROL!$C$22, $C$13, 100%, $E$13)</f>
        <v>6.6352000000000002</v>
      </c>
      <c r="K368" s="64">
        <f>6.6377 * CHOOSE(CONTROL!$C$22, $C$13, 100%, $E$13)</f>
        <v>6.6376999999999997</v>
      </c>
    </row>
    <row r="369" spans="1:11" ht="15">
      <c r="A369" s="13">
        <v>52871</v>
      </c>
      <c r="B369" s="63">
        <f>5.7707 * CHOOSE(CONTROL!$C$22, $C$13, 100%, $E$13)</f>
        <v>5.7706999999999997</v>
      </c>
      <c r="C369" s="63">
        <f>5.7707 * CHOOSE(CONTROL!$C$22, $C$13, 100%, $E$13)</f>
        <v>5.7706999999999997</v>
      </c>
      <c r="D369" s="63">
        <f>5.7907 * CHOOSE(CONTROL!$C$22, $C$13, 100%, $E$13)</f>
        <v>5.7907000000000002</v>
      </c>
      <c r="E369" s="64">
        <f>6.652 * CHOOSE(CONTROL!$C$22, $C$13, 100%, $E$13)</f>
        <v>6.6520000000000001</v>
      </c>
      <c r="F369" s="64">
        <f>6.652 * CHOOSE(CONTROL!$C$22, $C$13, 100%, $E$13)</f>
        <v>6.6520000000000001</v>
      </c>
      <c r="G369" s="64">
        <f>6.6522 * CHOOSE(CONTROL!$C$22, $C$13, 100%, $E$13)</f>
        <v>6.6521999999999997</v>
      </c>
      <c r="H369" s="64">
        <f>11.7505* CHOOSE(CONTROL!$C$22, $C$13, 100%, $E$13)</f>
        <v>11.750500000000001</v>
      </c>
      <c r="I369" s="64">
        <f>11.7507 * CHOOSE(CONTROL!$C$22, $C$13, 100%, $E$13)</f>
        <v>11.7507</v>
      </c>
      <c r="J369" s="64">
        <f>6.652 * CHOOSE(CONTROL!$C$22, $C$13, 100%, $E$13)</f>
        <v>6.6520000000000001</v>
      </c>
      <c r="K369" s="64">
        <f>6.6522 * CHOOSE(CONTROL!$C$22, $C$13, 100%, $E$13)</f>
        <v>6.6521999999999997</v>
      </c>
    </row>
    <row r="370" spans="1:11" ht="15">
      <c r="A370" s="13">
        <v>52902</v>
      </c>
      <c r="B370" s="63">
        <f>5.7737 * CHOOSE(CONTROL!$C$22, $C$13, 100%, $E$13)</f>
        <v>5.7736999999999998</v>
      </c>
      <c r="C370" s="63">
        <f>5.7737 * CHOOSE(CONTROL!$C$22, $C$13, 100%, $E$13)</f>
        <v>5.7736999999999998</v>
      </c>
      <c r="D370" s="63">
        <f>5.7937 * CHOOSE(CONTROL!$C$22, $C$13, 100%, $E$13)</f>
        <v>5.7937000000000003</v>
      </c>
      <c r="E370" s="64">
        <f>6.6693 * CHOOSE(CONTROL!$C$22, $C$13, 100%, $E$13)</f>
        <v>6.6692999999999998</v>
      </c>
      <c r="F370" s="64">
        <f>6.6693 * CHOOSE(CONTROL!$C$22, $C$13, 100%, $E$13)</f>
        <v>6.6692999999999998</v>
      </c>
      <c r="G370" s="64">
        <f>6.6694 * CHOOSE(CONTROL!$C$22, $C$13, 100%, $E$13)</f>
        <v>6.6694000000000004</v>
      </c>
      <c r="H370" s="64">
        <f>11.775* CHOOSE(CONTROL!$C$22, $C$13, 100%, $E$13)</f>
        <v>11.775</v>
      </c>
      <c r="I370" s="64">
        <f>11.7752 * CHOOSE(CONTROL!$C$22, $C$13, 100%, $E$13)</f>
        <v>11.7752</v>
      </c>
      <c r="J370" s="64">
        <f>6.6693 * CHOOSE(CONTROL!$C$22, $C$13, 100%, $E$13)</f>
        <v>6.6692999999999998</v>
      </c>
      <c r="K370" s="64">
        <f>6.6694 * CHOOSE(CONTROL!$C$22, $C$13, 100%, $E$13)</f>
        <v>6.6694000000000004</v>
      </c>
    </row>
    <row r="371" spans="1:11" ht="15">
      <c r="A371" s="13">
        <v>52932</v>
      </c>
      <c r="B371" s="63">
        <f>5.7737 * CHOOSE(CONTROL!$C$22, $C$13, 100%, $E$13)</f>
        <v>5.7736999999999998</v>
      </c>
      <c r="C371" s="63">
        <f>5.7737 * CHOOSE(CONTROL!$C$22, $C$13, 100%, $E$13)</f>
        <v>5.7736999999999998</v>
      </c>
      <c r="D371" s="63">
        <f>5.7937 * CHOOSE(CONTROL!$C$22, $C$13, 100%, $E$13)</f>
        <v>5.7937000000000003</v>
      </c>
      <c r="E371" s="64">
        <f>6.6315 * CHOOSE(CONTROL!$C$22, $C$13, 100%, $E$13)</f>
        <v>6.6315</v>
      </c>
      <c r="F371" s="64">
        <f>6.6315 * CHOOSE(CONTROL!$C$22, $C$13, 100%, $E$13)</f>
        <v>6.6315</v>
      </c>
      <c r="G371" s="64">
        <f>6.6317 * CHOOSE(CONTROL!$C$22, $C$13, 100%, $E$13)</f>
        <v>6.6317000000000004</v>
      </c>
      <c r="H371" s="64">
        <f>11.7996* CHOOSE(CONTROL!$C$22, $C$13, 100%, $E$13)</f>
        <v>11.7996</v>
      </c>
      <c r="I371" s="64">
        <f>11.7997 * CHOOSE(CONTROL!$C$22, $C$13, 100%, $E$13)</f>
        <v>11.7997</v>
      </c>
      <c r="J371" s="64">
        <f>6.6315 * CHOOSE(CONTROL!$C$22, $C$13, 100%, $E$13)</f>
        <v>6.6315</v>
      </c>
      <c r="K371" s="64">
        <f>6.6317 * CHOOSE(CONTROL!$C$22, $C$13, 100%, $E$13)</f>
        <v>6.6317000000000004</v>
      </c>
    </row>
    <row r="372" spans="1:11" ht="15">
      <c r="A372" s="13">
        <v>52963</v>
      </c>
      <c r="B372" s="63">
        <f>5.8261 * CHOOSE(CONTROL!$C$22, $C$13, 100%, $E$13)</f>
        <v>5.8261000000000003</v>
      </c>
      <c r="C372" s="63">
        <f>5.8261 * CHOOSE(CONTROL!$C$22, $C$13, 100%, $E$13)</f>
        <v>5.8261000000000003</v>
      </c>
      <c r="D372" s="63">
        <f>5.8461 * CHOOSE(CONTROL!$C$22, $C$13, 100%, $E$13)</f>
        <v>5.8460999999999999</v>
      </c>
      <c r="E372" s="64">
        <f>6.7188 * CHOOSE(CONTROL!$C$22, $C$13, 100%, $E$13)</f>
        <v>6.7187999999999999</v>
      </c>
      <c r="F372" s="64">
        <f>6.7188 * CHOOSE(CONTROL!$C$22, $C$13, 100%, $E$13)</f>
        <v>6.7187999999999999</v>
      </c>
      <c r="G372" s="64">
        <f>6.719 * CHOOSE(CONTROL!$C$22, $C$13, 100%, $E$13)</f>
        <v>6.7190000000000003</v>
      </c>
      <c r="H372" s="64">
        <f>11.8241* CHOOSE(CONTROL!$C$22, $C$13, 100%, $E$13)</f>
        <v>11.8241</v>
      </c>
      <c r="I372" s="64">
        <f>11.8243 * CHOOSE(CONTROL!$C$22, $C$13, 100%, $E$13)</f>
        <v>11.824299999999999</v>
      </c>
      <c r="J372" s="64">
        <f>6.7188 * CHOOSE(CONTROL!$C$22, $C$13, 100%, $E$13)</f>
        <v>6.7187999999999999</v>
      </c>
      <c r="K372" s="64">
        <f>6.719 * CHOOSE(CONTROL!$C$22, $C$13, 100%, $E$13)</f>
        <v>6.7190000000000003</v>
      </c>
    </row>
    <row r="373" spans="1:11" ht="15">
      <c r="A373" s="13">
        <v>52994</v>
      </c>
      <c r="B373" s="63">
        <f>5.8231 * CHOOSE(CONTROL!$C$22, $C$13, 100%, $E$13)</f>
        <v>5.8231000000000002</v>
      </c>
      <c r="C373" s="63">
        <f>5.8231 * CHOOSE(CONTROL!$C$22, $C$13, 100%, $E$13)</f>
        <v>5.8231000000000002</v>
      </c>
      <c r="D373" s="63">
        <f>5.8431 * CHOOSE(CONTROL!$C$22, $C$13, 100%, $E$13)</f>
        <v>5.8430999999999997</v>
      </c>
      <c r="E373" s="64">
        <f>6.6434 * CHOOSE(CONTROL!$C$22, $C$13, 100%, $E$13)</f>
        <v>6.6433999999999997</v>
      </c>
      <c r="F373" s="64">
        <f>6.6434 * CHOOSE(CONTROL!$C$22, $C$13, 100%, $E$13)</f>
        <v>6.6433999999999997</v>
      </c>
      <c r="G373" s="64">
        <f>6.6435 * CHOOSE(CONTROL!$C$22, $C$13, 100%, $E$13)</f>
        <v>6.6435000000000004</v>
      </c>
      <c r="H373" s="64">
        <f>11.8488* CHOOSE(CONTROL!$C$22, $C$13, 100%, $E$13)</f>
        <v>11.848800000000001</v>
      </c>
      <c r="I373" s="64">
        <f>11.8489 * CHOOSE(CONTROL!$C$22, $C$13, 100%, $E$13)</f>
        <v>11.8489</v>
      </c>
      <c r="J373" s="64">
        <f>6.6434 * CHOOSE(CONTROL!$C$22, $C$13, 100%, $E$13)</f>
        <v>6.6433999999999997</v>
      </c>
      <c r="K373" s="64">
        <f>6.6435 * CHOOSE(CONTROL!$C$22, $C$13, 100%, $E$13)</f>
        <v>6.6435000000000004</v>
      </c>
    </row>
    <row r="374" spans="1:11" ht="15">
      <c r="A374" s="13">
        <v>53022</v>
      </c>
      <c r="B374" s="63">
        <f>5.8201 * CHOOSE(CONTROL!$C$22, $C$13, 100%, $E$13)</f>
        <v>5.8201000000000001</v>
      </c>
      <c r="C374" s="63">
        <f>5.8201 * CHOOSE(CONTROL!$C$22, $C$13, 100%, $E$13)</f>
        <v>5.8201000000000001</v>
      </c>
      <c r="D374" s="63">
        <f>5.84 * CHOOSE(CONTROL!$C$22, $C$13, 100%, $E$13)</f>
        <v>5.84</v>
      </c>
      <c r="E374" s="64">
        <f>6.6991 * CHOOSE(CONTROL!$C$22, $C$13, 100%, $E$13)</f>
        <v>6.6990999999999996</v>
      </c>
      <c r="F374" s="64">
        <f>6.6991 * CHOOSE(CONTROL!$C$22, $C$13, 100%, $E$13)</f>
        <v>6.6990999999999996</v>
      </c>
      <c r="G374" s="64">
        <f>6.6992 * CHOOSE(CONTROL!$C$22, $C$13, 100%, $E$13)</f>
        <v>6.6992000000000003</v>
      </c>
      <c r="H374" s="64">
        <f>11.8735* CHOOSE(CONTROL!$C$22, $C$13, 100%, $E$13)</f>
        <v>11.8735</v>
      </c>
      <c r="I374" s="64">
        <f>11.8736 * CHOOSE(CONTROL!$C$22, $C$13, 100%, $E$13)</f>
        <v>11.8736</v>
      </c>
      <c r="J374" s="64">
        <f>6.6991 * CHOOSE(CONTROL!$C$22, $C$13, 100%, $E$13)</f>
        <v>6.6990999999999996</v>
      </c>
      <c r="K374" s="64">
        <f>6.6992 * CHOOSE(CONTROL!$C$22, $C$13, 100%, $E$13)</f>
        <v>6.6992000000000003</v>
      </c>
    </row>
    <row r="375" spans="1:11" ht="15">
      <c r="A375" s="13">
        <v>53053</v>
      </c>
      <c r="B375" s="63">
        <f>5.8194 * CHOOSE(CONTROL!$C$22, $C$13, 100%, $E$13)</f>
        <v>5.8193999999999999</v>
      </c>
      <c r="C375" s="63">
        <f>5.8194 * CHOOSE(CONTROL!$C$22, $C$13, 100%, $E$13)</f>
        <v>5.8193999999999999</v>
      </c>
      <c r="D375" s="63">
        <f>5.8393 * CHOOSE(CONTROL!$C$22, $C$13, 100%, $E$13)</f>
        <v>5.8392999999999997</v>
      </c>
      <c r="E375" s="64">
        <f>6.7569 * CHOOSE(CONTROL!$C$22, $C$13, 100%, $E$13)</f>
        <v>6.7568999999999999</v>
      </c>
      <c r="F375" s="64">
        <f>6.7569 * CHOOSE(CONTROL!$C$22, $C$13, 100%, $E$13)</f>
        <v>6.7568999999999999</v>
      </c>
      <c r="G375" s="64">
        <f>6.7571 * CHOOSE(CONTROL!$C$22, $C$13, 100%, $E$13)</f>
        <v>6.7571000000000003</v>
      </c>
      <c r="H375" s="64">
        <f>11.8982* CHOOSE(CONTROL!$C$22, $C$13, 100%, $E$13)</f>
        <v>11.898199999999999</v>
      </c>
      <c r="I375" s="64">
        <f>11.8984 * CHOOSE(CONTROL!$C$22, $C$13, 100%, $E$13)</f>
        <v>11.898400000000001</v>
      </c>
      <c r="J375" s="64">
        <f>6.7569 * CHOOSE(CONTROL!$C$22, $C$13, 100%, $E$13)</f>
        <v>6.7568999999999999</v>
      </c>
      <c r="K375" s="64">
        <f>6.7571 * CHOOSE(CONTROL!$C$22, $C$13, 100%, $E$13)</f>
        <v>6.7571000000000003</v>
      </c>
    </row>
    <row r="376" spans="1:11" ht="15">
      <c r="A376" s="13">
        <v>53083</v>
      </c>
      <c r="B376" s="63">
        <f>5.8194 * CHOOSE(CONTROL!$C$22, $C$13, 100%, $E$13)</f>
        <v>5.8193999999999999</v>
      </c>
      <c r="C376" s="63">
        <f>5.8194 * CHOOSE(CONTROL!$C$22, $C$13, 100%, $E$13)</f>
        <v>5.8193999999999999</v>
      </c>
      <c r="D376" s="63">
        <f>5.8593 * CHOOSE(CONTROL!$C$22, $C$13, 100%, $E$13)</f>
        <v>5.8593000000000002</v>
      </c>
      <c r="E376" s="64">
        <f>6.7802 * CHOOSE(CONTROL!$C$22, $C$13, 100%, $E$13)</f>
        <v>6.7801999999999998</v>
      </c>
      <c r="F376" s="64">
        <f>6.7802 * CHOOSE(CONTROL!$C$22, $C$13, 100%, $E$13)</f>
        <v>6.7801999999999998</v>
      </c>
      <c r="G376" s="64">
        <f>6.7827 * CHOOSE(CONTROL!$C$22, $C$13, 100%, $E$13)</f>
        <v>6.7827000000000002</v>
      </c>
      <c r="H376" s="64">
        <f>11.923* CHOOSE(CONTROL!$C$22, $C$13, 100%, $E$13)</f>
        <v>11.923</v>
      </c>
      <c r="I376" s="64">
        <f>11.9254 * CHOOSE(CONTROL!$C$22, $C$13, 100%, $E$13)</f>
        <v>11.9254</v>
      </c>
      <c r="J376" s="64">
        <f>6.7802 * CHOOSE(CONTROL!$C$22, $C$13, 100%, $E$13)</f>
        <v>6.7801999999999998</v>
      </c>
      <c r="K376" s="64">
        <f>6.7827 * CHOOSE(CONTROL!$C$22, $C$13, 100%, $E$13)</f>
        <v>6.7827000000000002</v>
      </c>
    </row>
    <row r="377" spans="1:11" ht="15">
      <c r="A377" s="13">
        <v>53114</v>
      </c>
      <c r="B377" s="63">
        <f>5.8254 * CHOOSE(CONTROL!$C$22, $C$13, 100%, $E$13)</f>
        <v>5.8254000000000001</v>
      </c>
      <c r="C377" s="63">
        <f>5.8254 * CHOOSE(CONTROL!$C$22, $C$13, 100%, $E$13)</f>
        <v>5.8254000000000001</v>
      </c>
      <c r="D377" s="63">
        <f>5.8654 * CHOOSE(CONTROL!$C$22, $C$13, 100%, $E$13)</f>
        <v>5.8654000000000002</v>
      </c>
      <c r="E377" s="64">
        <f>6.7612 * CHOOSE(CONTROL!$C$22, $C$13, 100%, $E$13)</f>
        <v>6.7611999999999997</v>
      </c>
      <c r="F377" s="64">
        <f>6.7612 * CHOOSE(CONTROL!$C$22, $C$13, 100%, $E$13)</f>
        <v>6.7611999999999997</v>
      </c>
      <c r="G377" s="64">
        <f>6.7636 * CHOOSE(CONTROL!$C$22, $C$13, 100%, $E$13)</f>
        <v>6.7636000000000003</v>
      </c>
      <c r="H377" s="64">
        <f>11.9478* CHOOSE(CONTROL!$C$22, $C$13, 100%, $E$13)</f>
        <v>11.947800000000001</v>
      </c>
      <c r="I377" s="64">
        <f>11.9503 * CHOOSE(CONTROL!$C$22, $C$13, 100%, $E$13)</f>
        <v>11.9503</v>
      </c>
      <c r="J377" s="64">
        <f>6.7612 * CHOOSE(CONTROL!$C$22, $C$13, 100%, $E$13)</f>
        <v>6.7611999999999997</v>
      </c>
      <c r="K377" s="64">
        <f>6.7636 * CHOOSE(CONTROL!$C$22, $C$13, 100%, $E$13)</f>
        <v>6.7636000000000003</v>
      </c>
    </row>
    <row r="378" spans="1:11" ht="15">
      <c r="A378" s="13">
        <v>53144</v>
      </c>
      <c r="B378" s="63">
        <f>5.9228 * CHOOSE(CONTROL!$C$22, $C$13, 100%, $E$13)</f>
        <v>5.9227999999999996</v>
      </c>
      <c r="C378" s="63">
        <f>5.9228 * CHOOSE(CONTROL!$C$22, $C$13, 100%, $E$13)</f>
        <v>5.9227999999999996</v>
      </c>
      <c r="D378" s="63">
        <f>5.9627 * CHOOSE(CONTROL!$C$22, $C$13, 100%, $E$13)</f>
        <v>5.9626999999999999</v>
      </c>
      <c r="E378" s="64">
        <f>6.8958 * CHOOSE(CONTROL!$C$22, $C$13, 100%, $E$13)</f>
        <v>6.8958000000000004</v>
      </c>
      <c r="F378" s="64">
        <f>6.8958 * CHOOSE(CONTROL!$C$22, $C$13, 100%, $E$13)</f>
        <v>6.8958000000000004</v>
      </c>
      <c r="G378" s="64">
        <f>6.8982 * CHOOSE(CONTROL!$C$22, $C$13, 100%, $E$13)</f>
        <v>6.8982000000000001</v>
      </c>
      <c r="H378" s="64">
        <f>11.9727* CHOOSE(CONTROL!$C$22, $C$13, 100%, $E$13)</f>
        <v>11.9727</v>
      </c>
      <c r="I378" s="64">
        <f>11.9752 * CHOOSE(CONTROL!$C$22, $C$13, 100%, $E$13)</f>
        <v>11.975199999999999</v>
      </c>
      <c r="J378" s="64">
        <f>6.8958 * CHOOSE(CONTROL!$C$22, $C$13, 100%, $E$13)</f>
        <v>6.8958000000000004</v>
      </c>
      <c r="K378" s="64">
        <f>6.8982 * CHOOSE(CONTROL!$C$22, $C$13, 100%, $E$13)</f>
        <v>6.8982000000000001</v>
      </c>
    </row>
    <row r="379" spans="1:11" ht="15">
      <c r="A379" s="13">
        <v>53175</v>
      </c>
      <c r="B379" s="63">
        <f>5.9295 * CHOOSE(CONTROL!$C$22, $C$13, 100%, $E$13)</f>
        <v>5.9295</v>
      </c>
      <c r="C379" s="63">
        <f>5.9295 * CHOOSE(CONTROL!$C$22, $C$13, 100%, $E$13)</f>
        <v>5.9295</v>
      </c>
      <c r="D379" s="63">
        <f>5.9694 * CHOOSE(CONTROL!$C$22, $C$13, 100%, $E$13)</f>
        <v>5.9694000000000003</v>
      </c>
      <c r="E379" s="64">
        <f>6.8306 * CHOOSE(CONTROL!$C$22, $C$13, 100%, $E$13)</f>
        <v>6.8305999999999996</v>
      </c>
      <c r="F379" s="64">
        <f>6.8306 * CHOOSE(CONTROL!$C$22, $C$13, 100%, $E$13)</f>
        <v>6.8305999999999996</v>
      </c>
      <c r="G379" s="64">
        <f>6.833 * CHOOSE(CONTROL!$C$22, $C$13, 100%, $E$13)</f>
        <v>6.8330000000000002</v>
      </c>
      <c r="H379" s="64">
        <f>11.9977* CHOOSE(CONTROL!$C$22, $C$13, 100%, $E$13)</f>
        <v>11.9977</v>
      </c>
      <c r="I379" s="64">
        <f>12.0001 * CHOOSE(CONTROL!$C$22, $C$13, 100%, $E$13)</f>
        <v>12.0001</v>
      </c>
      <c r="J379" s="64">
        <f>6.8306 * CHOOSE(CONTROL!$C$22, $C$13, 100%, $E$13)</f>
        <v>6.8305999999999996</v>
      </c>
      <c r="K379" s="64">
        <f>6.833 * CHOOSE(CONTROL!$C$22, $C$13, 100%, $E$13)</f>
        <v>6.8330000000000002</v>
      </c>
    </row>
    <row r="380" spans="1:11" ht="15">
      <c r="A380" s="13">
        <v>53206</v>
      </c>
      <c r="B380" s="63">
        <f>5.9264 * CHOOSE(CONTROL!$C$22, $C$13, 100%, $E$13)</f>
        <v>5.9264000000000001</v>
      </c>
      <c r="C380" s="63">
        <f>5.9264 * CHOOSE(CONTROL!$C$22, $C$13, 100%, $E$13)</f>
        <v>5.9264000000000001</v>
      </c>
      <c r="D380" s="63">
        <f>5.9664 * CHOOSE(CONTROL!$C$22, $C$13, 100%, $E$13)</f>
        <v>5.9664000000000001</v>
      </c>
      <c r="E380" s="64">
        <f>6.8207 * CHOOSE(CONTROL!$C$22, $C$13, 100%, $E$13)</f>
        <v>6.8207000000000004</v>
      </c>
      <c r="F380" s="64">
        <f>6.8207 * CHOOSE(CONTROL!$C$22, $C$13, 100%, $E$13)</f>
        <v>6.8207000000000004</v>
      </c>
      <c r="G380" s="64">
        <f>6.8231 * CHOOSE(CONTROL!$C$22, $C$13, 100%, $E$13)</f>
        <v>6.8231000000000002</v>
      </c>
      <c r="H380" s="64">
        <f>12.0226* CHOOSE(CONTROL!$C$22, $C$13, 100%, $E$13)</f>
        <v>12.022600000000001</v>
      </c>
      <c r="I380" s="64">
        <f>12.0251 * CHOOSE(CONTROL!$C$22, $C$13, 100%, $E$13)</f>
        <v>12.0251</v>
      </c>
      <c r="J380" s="64">
        <f>6.8207 * CHOOSE(CONTROL!$C$22, $C$13, 100%, $E$13)</f>
        <v>6.8207000000000004</v>
      </c>
      <c r="K380" s="64">
        <f>6.8231 * CHOOSE(CONTROL!$C$22, $C$13, 100%, $E$13)</f>
        <v>6.8231000000000002</v>
      </c>
    </row>
    <row r="381" spans="1:11" ht="15">
      <c r="A381" s="13">
        <v>53236</v>
      </c>
      <c r="B381" s="63">
        <f>5.9282 * CHOOSE(CONTROL!$C$22, $C$13, 100%, $E$13)</f>
        <v>5.9282000000000004</v>
      </c>
      <c r="C381" s="63">
        <f>5.9282 * CHOOSE(CONTROL!$C$22, $C$13, 100%, $E$13)</f>
        <v>5.9282000000000004</v>
      </c>
      <c r="D381" s="63">
        <f>5.9481 * CHOOSE(CONTROL!$C$22, $C$13, 100%, $E$13)</f>
        <v>5.9481000000000002</v>
      </c>
      <c r="E381" s="64">
        <f>6.8383 * CHOOSE(CONTROL!$C$22, $C$13, 100%, $E$13)</f>
        <v>6.8383000000000003</v>
      </c>
      <c r="F381" s="64">
        <f>6.8383 * CHOOSE(CONTROL!$C$22, $C$13, 100%, $E$13)</f>
        <v>6.8383000000000003</v>
      </c>
      <c r="G381" s="64">
        <f>6.8385 * CHOOSE(CONTROL!$C$22, $C$13, 100%, $E$13)</f>
        <v>6.8384999999999998</v>
      </c>
      <c r="H381" s="64">
        <f>12.0477* CHOOSE(CONTROL!$C$22, $C$13, 100%, $E$13)</f>
        <v>12.047700000000001</v>
      </c>
      <c r="I381" s="64">
        <f>12.0479 * CHOOSE(CONTROL!$C$22, $C$13, 100%, $E$13)</f>
        <v>12.0479</v>
      </c>
      <c r="J381" s="64">
        <f>6.8383 * CHOOSE(CONTROL!$C$22, $C$13, 100%, $E$13)</f>
        <v>6.8383000000000003</v>
      </c>
      <c r="K381" s="64">
        <f>6.8385 * CHOOSE(CONTROL!$C$22, $C$13, 100%, $E$13)</f>
        <v>6.8384999999999998</v>
      </c>
    </row>
    <row r="382" spans="1:11" ht="15">
      <c r="A382" s="13">
        <v>53267</v>
      </c>
      <c r="B382" s="63">
        <f>5.9312 * CHOOSE(CONTROL!$C$22, $C$13, 100%, $E$13)</f>
        <v>5.9311999999999996</v>
      </c>
      <c r="C382" s="63">
        <f>5.9312 * CHOOSE(CONTROL!$C$22, $C$13, 100%, $E$13)</f>
        <v>5.9311999999999996</v>
      </c>
      <c r="D382" s="63">
        <f>5.9512 * CHOOSE(CONTROL!$C$22, $C$13, 100%, $E$13)</f>
        <v>5.9512</v>
      </c>
      <c r="E382" s="64">
        <f>6.856 * CHOOSE(CONTROL!$C$22, $C$13, 100%, $E$13)</f>
        <v>6.8559999999999999</v>
      </c>
      <c r="F382" s="64">
        <f>6.856 * CHOOSE(CONTROL!$C$22, $C$13, 100%, $E$13)</f>
        <v>6.8559999999999999</v>
      </c>
      <c r="G382" s="64">
        <f>6.8561 * CHOOSE(CONTROL!$C$22, $C$13, 100%, $E$13)</f>
        <v>6.8560999999999996</v>
      </c>
      <c r="H382" s="64">
        <f>12.0728* CHOOSE(CONTROL!$C$22, $C$13, 100%, $E$13)</f>
        <v>12.072800000000001</v>
      </c>
      <c r="I382" s="64">
        <f>12.073 * CHOOSE(CONTROL!$C$22, $C$13, 100%, $E$13)</f>
        <v>12.073</v>
      </c>
      <c r="J382" s="64">
        <f>6.856 * CHOOSE(CONTROL!$C$22, $C$13, 100%, $E$13)</f>
        <v>6.8559999999999999</v>
      </c>
      <c r="K382" s="64">
        <f>6.8561 * CHOOSE(CONTROL!$C$22, $C$13, 100%, $E$13)</f>
        <v>6.8560999999999996</v>
      </c>
    </row>
    <row r="383" spans="1:11" ht="15">
      <c r="A383" s="13">
        <v>53297</v>
      </c>
      <c r="B383" s="63">
        <f>5.9312 * CHOOSE(CONTROL!$C$22, $C$13, 100%, $E$13)</f>
        <v>5.9311999999999996</v>
      </c>
      <c r="C383" s="63">
        <f>5.9312 * CHOOSE(CONTROL!$C$22, $C$13, 100%, $E$13)</f>
        <v>5.9311999999999996</v>
      </c>
      <c r="D383" s="63">
        <f>5.9512 * CHOOSE(CONTROL!$C$22, $C$13, 100%, $E$13)</f>
        <v>5.9512</v>
      </c>
      <c r="E383" s="64">
        <f>6.8171 * CHOOSE(CONTROL!$C$22, $C$13, 100%, $E$13)</f>
        <v>6.8170999999999999</v>
      </c>
      <c r="F383" s="64">
        <f>6.8171 * CHOOSE(CONTROL!$C$22, $C$13, 100%, $E$13)</f>
        <v>6.8170999999999999</v>
      </c>
      <c r="G383" s="64">
        <f>6.8173 * CHOOSE(CONTROL!$C$22, $C$13, 100%, $E$13)</f>
        <v>6.8173000000000004</v>
      </c>
      <c r="H383" s="64">
        <f>12.0979* CHOOSE(CONTROL!$C$22, $C$13, 100%, $E$13)</f>
        <v>12.097899999999999</v>
      </c>
      <c r="I383" s="64">
        <f>12.0981 * CHOOSE(CONTROL!$C$22, $C$13, 100%, $E$13)</f>
        <v>12.098100000000001</v>
      </c>
      <c r="J383" s="64">
        <f>6.8171 * CHOOSE(CONTROL!$C$22, $C$13, 100%, $E$13)</f>
        <v>6.8170999999999999</v>
      </c>
      <c r="K383" s="64">
        <f>6.8173 * CHOOSE(CONTROL!$C$22, $C$13, 100%, $E$13)</f>
        <v>6.8173000000000004</v>
      </c>
    </row>
    <row r="384" spans="1:11" ht="15">
      <c r="A384" s="13">
        <v>53328</v>
      </c>
      <c r="B384" s="63">
        <f>5.9849 * CHOOSE(CONTROL!$C$22, $C$13, 100%, $E$13)</f>
        <v>5.9848999999999997</v>
      </c>
      <c r="C384" s="63">
        <f>5.9849 * CHOOSE(CONTROL!$C$22, $C$13, 100%, $E$13)</f>
        <v>5.9848999999999997</v>
      </c>
      <c r="D384" s="63">
        <f>6.0049 * CHOOSE(CONTROL!$C$22, $C$13, 100%, $E$13)</f>
        <v>6.0049000000000001</v>
      </c>
      <c r="E384" s="64">
        <f>6.9068 * CHOOSE(CONTROL!$C$22, $C$13, 100%, $E$13)</f>
        <v>6.9067999999999996</v>
      </c>
      <c r="F384" s="64">
        <f>6.9068 * CHOOSE(CONTROL!$C$22, $C$13, 100%, $E$13)</f>
        <v>6.9067999999999996</v>
      </c>
      <c r="G384" s="64">
        <f>6.907 * CHOOSE(CONTROL!$C$22, $C$13, 100%, $E$13)</f>
        <v>6.907</v>
      </c>
      <c r="H384" s="64">
        <f>12.1231* CHOOSE(CONTROL!$C$22, $C$13, 100%, $E$13)</f>
        <v>12.123100000000001</v>
      </c>
      <c r="I384" s="64">
        <f>12.1233 * CHOOSE(CONTROL!$C$22, $C$13, 100%, $E$13)</f>
        <v>12.1233</v>
      </c>
      <c r="J384" s="64">
        <f>6.9068 * CHOOSE(CONTROL!$C$22, $C$13, 100%, $E$13)</f>
        <v>6.9067999999999996</v>
      </c>
      <c r="K384" s="64">
        <f>6.907 * CHOOSE(CONTROL!$C$22, $C$13, 100%, $E$13)</f>
        <v>6.907</v>
      </c>
    </row>
    <row r="385" spans="1:11" ht="15">
      <c r="A385" s="13">
        <v>53359</v>
      </c>
      <c r="B385" s="63">
        <f>5.9819 * CHOOSE(CONTROL!$C$22, $C$13, 100%, $E$13)</f>
        <v>5.9819000000000004</v>
      </c>
      <c r="C385" s="63">
        <f>5.9819 * CHOOSE(CONTROL!$C$22, $C$13, 100%, $E$13)</f>
        <v>5.9819000000000004</v>
      </c>
      <c r="D385" s="63">
        <f>6.0018 * CHOOSE(CONTROL!$C$22, $C$13, 100%, $E$13)</f>
        <v>6.0018000000000002</v>
      </c>
      <c r="E385" s="64">
        <f>6.8293 * CHOOSE(CONTROL!$C$22, $C$13, 100%, $E$13)</f>
        <v>6.8292999999999999</v>
      </c>
      <c r="F385" s="64">
        <f>6.8293 * CHOOSE(CONTROL!$C$22, $C$13, 100%, $E$13)</f>
        <v>6.8292999999999999</v>
      </c>
      <c r="G385" s="64">
        <f>6.8295 * CHOOSE(CONTROL!$C$22, $C$13, 100%, $E$13)</f>
        <v>6.8295000000000003</v>
      </c>
      <c r="H385" s="64">
        <f>12.1484* CHOOSE(CONTROL!$C$22, $C$13, 100%, $E$13)</f>
        <v>12.148400000000001</v>
      </c>
      <c r="I385" s="64">
        <f>12.1486 * CHOOSE(CONTROL!$C$22, $C$13, 100%, $E$13)</f>
        <v>12.1486</v>
      </c>
      <c r="J385" s="64">
        <f>6.8293 * CHOOSE(CONTROL!$C$22, $C$13, 100%, $E$13)</f>
        <v>6.8292999999999999</v>
      </c>
      <c r="K385" s="64">
        <f>6.8295 * CHOOSE(CONTROL!$C$22, $C$13, 100%, $E$13)</f>
        <v>6.8295000000000003</v>
      </c>
    </row>
    <row r="386" spans="1:11" ht="15">
      <c r="A386" s="13">
        <v>53387</v>
      </c>
      <c r="B386" s="63">
        <f>5.9788 * CHOOSE(CONTROL!$C$22, $C$13, 100%, $E$13)</f>
        <v>5.9787999999999997</v>
      </c>
      <c r="C386" s="63">
        <f>5.9788 * CHOOSE(CONTROL!$C$22, $C$13, 100%, $E$13)</f>
        <v>5.9787999999999997</v>
      </c>
      <c r="D386" s="63">
        <f>5.9988 * CHOOSE(CONTROL!$C$22, $C$13, 100%, $E$13)</f>
        <v>5.9988000000000001</v>
      </c>
      <c r="E386" s="64">
        <f>6.8866 * CHOOSE(CONTROL!$C$22, $C$13, 100%, $E$13)</f>
        <v>6.8865999999999996</v>
      </c>
      <c r="F386" s="64">
        <f>6.8866 * CHOOSE(CONTROL!$C$22, $C$13, 100%, $E$13)</f>
        <v>6.8865999999999996</v>
      </c>
      <c r="G386" s="64">
        <f>6.8868 * CHOOSE(CONTROL!$C$22, $C$13, 100%, $E$13)</f>
        <v>6.8868</v>
      </c>
      <c r="H386" s="64">
        <f>12.1737* CHOOSE(CONTROL!$C$22, $C$13, 100%, $E$13)</f>
        <v>12.1737</v>
      </c>
      <c r="I386" s="64">
        <f>12.1739 * CHOOSE(CONTROL!$C$22, $C$13, 100%, $E$13)</f>
        <v>12.1739</v>
      </c>
      <c r="J386" s="64">
        <f>6.8866 * CHOOSE(CONTROL!$C$22, $C$13, 100%, $E$13)</f>
        <v>6.8865999999999996</v>
      </c>
      <c r="K386" s="64">
        <f>6.8868 * CHOOSE(CONTROL!$C$22, $C$13, 100%, $E$13)</f>
        <v>6.8868</v>
      </c>
    </row>
    <row r="387" spans="1:11" ht="15">
      <c r="A387" s="13">
        <v>53418</v>
      </c>
      <c r="B387" s="63">
        <f>5.9783 * CHOOSE(CONTROL!$C$22, $C$13, 100%, $E$13)</f>
        <v>5.9782999999999999</v>
      </c>
      <c r="C387" s="63">
        <f>5.9783 * CHOOSE(CONTROL!$C$22, $C$13, 100%, $E$13)</f>
        <v>5.9782999999999999</v>
      </c>
      <c r="D387" s="63">
        <f>5.9982 * CHOOSE(CONTROL!$C$22, $C$13, 100%, $E$13)</f>
        <v>5.9981999999999998</v>
      </c>
      <c r="E387" s="64">
        <f>6.9463 * CHOOSE(CONTROL!$C$22, $C$13, 100%, $E$13)</f>
        <v>6.9462999999999999</v>
      </c>
      <c r="F387" s="64">
        <f>6.9463 * CHOOSE(CONTROL!$C$22, $C$13, 100%, $E$13)</f>
        <v>6.9462999999999999</v>
      </c>
      <c r="G387" s="64">
        <f>6.9464 * CHOOSE(CONTROL!$C$22, $C$13, 100%, $E$13)</f>
        <v>6.9463999999999997</v>
      </c>
      <c r="H387" s="64">
        <f>12.1991* CHOOSE(CONTROL!$C$22, $C$13, 100%, $E$13)</f>
        <v>12.1991</v>
      </c>
      <c r="I387" s="64">
        <f>12.1993 * CHOOSE(CONTROL!$C$22, $C$13, 100%, $E$13)</f>
        <v>12.199299999999999</v>
      </c>
      <c r="J387" s="64">
        <f>6.9463 * CHOOSE(CONTROL!$C$22, $C$13, 100%, $E$13)</f>
        <v>6.9462999999999999</v>
      </c>
      <c r="K387" s="64">
        <f>6.9464 * CHOOSE(CONTROL!$C$22, $C$13, 100%, $E$13)</f>
        <v>6.9463999999999997</v>
      </c>
    </row>
    <row r="388" spans="1:11" ht="15">
      <c r="A388" s="13">
        <v>53448</v>
      </c>
      <c r="B388" s="63">
        <f>5.9783 * CHOOSE(CONTROL!$C$22, $C$13, 100%, $E$13)</f>
        <v>5.9782999999999999</v>
      </c>
      <c r="C388" s="63">
        <f>5.9783 * CHOOSE(CONTROL!$C$22, $C$13, 100%, $E$13)</f>
        <v>5.9782999999999999</v>
      </c>
      <c r="D388" s="63">
        <f>6.0182 * CHOOSE(CONTROL!$C$22, $C$13, 100%, $E$13)</f>
        <v>6.0182000000000002</v>
      </c>
      <c r="E388" s="64">
        <f>6.9702 * CHOOSE(CONTROL!$C$22, $C$13, 100%, $E$13)</f>
        <v>6.9702000000000002</v>
      </c>
      <c r="F388" s="64">
        <f>6.9702 * CHOOSE(CONTROL!$C$22, $C$13, 100%, $E$13)</f>
        <v>6.9702000000000002</v>
      </c>
      <c r="G388" s="64">
        <f>6.9726 * CHOOSE(CONTROL!$C$22, $C$13, 100%, $E$13)</f>
        <v>6.9725999999999999</v>
      </c>
      <c r="H388" s="64">
        <f>12.2245* CHOOSE(CONTROL!$C$22, $C$13, 100%, $E$13)</f>
        <v>12.224500000000001</v>
      </c>
      <c r="I388" s="64">
        <f>12.2269 * CHOOSE(CONTROL!$C$22, $C$13, 100%, $E$13)</f>
        <v>12.226900000000001</v>
      </c>
      <c r="J388" s="64">
        <f>6.9702 * CHOOSE(CONTROL!$C$22, $C$13, 100%, $E$13)</f>
        <v>6.9702000000000002</v>
      </c>
      <c r="K388" s="64">
        <f>6.9726 * CHOOSE(CONTROL!$C$22, $C$13, 100%, $E$13)</f>
        <v>6.9725999999999999</v>
      </c>
    </row>
    <row r="389" spans="1:11" ht="15">
      <c r="A389" s="13">
        <v>53479</v>
      </c>
      <c r="B389" s="63">
        <f>5.9843 * CHOOSE(CONTROL!$C$22, $C$13, 100%, $E$13)</f>
        <v>5.9843000000000002</v>
      </c>
      <c r="C389" s="63">
        <f>5.9843 * CHOOSE(CONTROL!$C$22, $C$13, 100%, $E$13)</f>
        <v>5.9843000000000002</v>
      </c>
      <c r="D389" s="63">
        <f>6.0243 * CHOOSE(CONTROL!$C$22, $C$13, 100%, $E$13)</f>
        <v>6.0243000000000002</v>
      </c>
      <c r="E389" s="64">
        <f>6.9505 * CHOOSE(CONTROL!$C$22, $C$13, 100%, $E$13)</f>
        <v>6.9504999999999999</v>
      </c>
      <c r="F389" s="64">
        <f>6.9505 * CHOOSE(CONTROL!$C$22, $C$13, 100%, $E$13)</f>
        <v>6.9504999999999999</v>
      </c>
      <c r="G389" s="64">
        <f>6.9529 * CHOOSE(CONTROL!$C$22, $C$13, 100%, $E$13)</f>
        <v>6.9528999999999996</v>
      </c>
      <c r="H389" s="64">
        <f>12.25* CHOOSE(CONTROL!$C$22, $C$13, 100%, $E$13)</f>
        <v>12.25</v>
      </c>
      <c r="I389" s="64">
        <f>12.2524 * CHOOSE(CONTROL!$C$22, $C$13, 100%, $E$13)</f>
        <v>12.2524</v>
      </c>
      <c r="J389" s="64">
        <f>6.9505 * CHOOSE(CONTROL!$C$22, $C$13, 100%, $E$13)</f>
        <v>6.9504999999999999</v>
      </c>
      <c r="K389" s="64">
        <f>6.9529 * CHOOSE(CONTROL!$C$22, $C$13, 100%, $E$13)</f>
        <v>6.9528999999999996</v>
      </c>
    </row>
    <row r="390" spans="1:11" ht="15">
      <c r="A390" s="13">
        <v>53509</v>
      </c>
      <c r="B390" s="63">
        <f>6.084 * CHOOSE(CONTROL!$C$22, $C$13, 100%, $E$13)</f>
        <v>6.0839999999999996</v>
      </c>
      <c r="C390" s="63">
        <f>6.084 * CHOOSE(CONTROL!$C$22, $C$13, 100%, $E$13)</f>
        <v>6.0839999999999996</v>
      </c>
      <c r="D390" s="63">
        <f>6.124 * CHOOSE(CONTROL!$C$22, $C$13, 100%, $E$13)</f>
        <v>6.1239999999999997</v>
      </c>
      <c r="E390" s="64">
        <f>7.0886 * CHOOSE(CONTROL!$C$22, $C$13, 100%, $E$13)</f>
        <v>7.0885999999999996</v>
      </c>
      <c r="F390" s="64">
        <f>7.0886 * CHOOSE(CONTROL!$C$22, $C$13, 100%, $E$13)</f>
        <v>7.0885999999999996</v>
      </c>
      <c r="G390" s="64">
        <f>7.091 * CHOOSE(CONTROL!$C$22, $C$13, 100%, $E$13)</f>
        <v>7.0910000000000002</v>
      </c>
      <c r="H390" s="64">
        <f>12.2755* CHOOSE(CONTROL!$C$22, $C$13, 100%, $E$13)</f>
        <v>12.275499999999999</v>
      </c>
      <c r="I390" s="64">
        <f>12.2779 * CHOOSE(CONTROL!$C$22, $C$13, 100%, $E$13)</f>
        <v>12.277900000000001</v>
      </c>
      <c r="J390" s="64">
        <f>7.0886 * CHOOSE(CONTROL!$C$22, $C$13, 100%, $E$13)</f>
        <v>7.0885999999999996</v>
      </c>
      <c r="K390" s="64">
        <f>7.091 * CHOOSE(CONTROL!$C$22, $C$13, 100%, $E$13)</f>
        <v>7.0910000000000002</v>
      </c>
    </row>
    <row r="391" spans="1:11" ht="15">
      <c r="A391" s="13">
        <v>53540</v>
      </c>
      <c r="B391" s="63">
        <f>6.0907 * CHOOSE(CONTROL!$C$22, $C$13, 100%, $E$13)</f>
        <v>6.0907</v>
      </c>
      <c r="C391" s="63">
        <f>6.0907 * CHOOSE(CONTROL!$C$22, $C$13, 100%, $E$13)</f>
        <v>6.0907</v>
      </c>
      <c r="D391" s="63">
        <f>6.1306 * CHOOSE(CONTROL!$C$22, $C$13, 100%, $E$13)</f>
        <v>6.1306000000000003</v>
      </c>
      <c r="E391" s="64">
        <f>7.0214 * CHOOSE(CONTROL!$C$22, $C$13, 100%, $E$13)</f>
        <v>7.0213999999999999</v>
      </c>
      <c r="F391" s="64">
        <f>7.0214 * CHOOSE(CONTROL!$C$22, $C$13, 100%, $E$13)</f>
        <v>7.0213999999999999</v>
      </c>
      <c r="G391" s="64">
        <f>7.0239 * CHOOSE(CONTROL!$C$22, $C$13, 100%, $E$13)</f>
        <v>7.0239000000000003</v>
      </c>
      <c r="H391" s="64">
        <f>12.3011* CHOOSE(CONTROL!$C$22, $C$13, 100%, $E$13)</f>
        <v>12.3011</v>
      </c>
      <c r="I391" s="64">
        <f>12.3035 * CHOOSE(CONTROL!$C$22, $C$13, 100%, $E$13)</f>
        <v>12.3035</v>
      </c>
      <c r="J391" s="64">
        <f>7.0214 * CHOOSE(CONTROL!$C$22, $C$13, 100%, $E$13)</f>
        <v>7.0213999999999999</v>
      </c>
      <c r="K391" s="64">
        <f>7.0239 * CHOOSE(CONTROL!$C$22, $C$13, 100%, $E$13)</f>
        <v>7.0239000000000003</v>
      </c>
    </row>
    <row r="392" spans="1:11" ht="15">
      <c r="A392" s="13">
        <v>53571</v>
      </c>
      <c r="B392" s="63">
        <f>6.0877 * CHOOSE(CONTROL!$C$22, $C$13, 100%, $E$13)</f>
        <v>6.0876999999999999</v>
      </c>
      <c r="C392" s="63">
        <f>6.0877 * CHOOSE(CONTROL!$C$22, $C$13, 100%, $E$13)</f>
        <v>6.0876999999999999</v>
      </c>
      <c r="D392" s="63">
        <f>6.1276 * CHOOSE(CONTROL!$C$22, $C$13, 100%, $E$13)</f>
        <v>6.1276000000000002</v>
      </c>
      <c r="E392" s="64">
        <f>7.0113 * CHOOSE(CONTROL!$C$22, $C$13, 100%, $E$13)</f>
        <v>7.0113000000000003</v>
      </c>
      <c r="F392" s="64">
        <f>7.0113 * CHOOSE(CONTROL!$C$22, $C$13, 100%, $E$13)</f>
        <v>7.0113000000000003</v>
      </c>
      <c r="G392" s="64">
        <f>7.0138 * CHOOSE(CONTROL!$C$22, $C$13, 100%, $E$13)</f>
        <v>7.0137999999999998</v>
      </c>
      <c r="H392" s="64">
        <f>12.3267* CHOOSE(CONTROL!$C$22, $C$13, 100%, $E$13)</f>
        <v>12.326700000000001</v>
      </c>
      <c r="I392" s="64">
        <f>12.3291 * CHOOSE(CONTROL!$C$22, $C$13, 100%, $E$13)</f>
        <v>12.3291</v>
      </c>
      <c r="J392" s="64">
        <f>7.0113 * CHOOSE(CONTROL!$C$22, $C$13, 100%, $E$13)</f>
        <v>7.0113000000000003</v>
      </c>
      <c r="K392" s="64">
        <f>7.0138 * CHOOSE(CONTROL!$C$22, $C$13, 100%, $E$13)</f>
        <v>7.0137999999999998</v>
      </c>
    </row>
    <row r="393" spans="1:11" ht="15">
      <c r="A393" s="13">
        <v>53601</v>
      </c>
      <c r="B393" s="63">
        <f>6.0899 * CHOOSE(CONTROL!$C$22, $C$13, 100%, $E$13)</f>
        <v>6.0899000000000001</v>
      </c>
      <c r="C393" s="63">
        <f>6.0899 * CHOOSE(CONTROL!$C$22, $C$13, 100%, $E$13)</f>
        <v>6.0899000000000001</v>
      </c>
      <c r="D393" s="63">
        <f>6.1099 * CHOOSE(CONTROL!$C$22, $C$13, 100%, $E$13)</f>
        <v>6.1098999999999997</v>
      </c>
      <c r="E393" s="64">
        <f>7.0298 * CHOOSE(CONTROL!$C$22, $C$13, 100%, $E$13)</f>
        <v>7.0297999999999998</v>
      </c>
      <c r="F393" s="64">
        <f>7.0298 * CHOOSE(CONTROL!$C$22, $C$13, 100%, $E$13)</f>
        <v>7.0297999999999998</v>
      </c>
      <c r="G393" s="64">
        <f>7.03 * CHOOSE(CONTROL!$C$22, $C$13, 100%, $E$13)</f>
        <v>7.03</v>
      </c>
      <c r="H393" s="64">
        <f>12.3524* CHOOSE(CONTROL!$C$22, $C$13, 100%, $E$13)</f>
        <v>12.352399999999999</v>
      </c>
      <c r="I393" s="64">
        <f>12.3525 * CHOOSE(CONTROL!$C$22, $C$13, 100%, $E$13)</f>
        <v>12.352499999999999</v>
      </c>
      <c r="J393" s="64">
        <f>7.0298 * CHOOSE(CONTROL!$C$22, $C$13, 100%, $E$13)</f>
        <v>7.0297999999999998</v>
      </c>
      <c r="K393" s="64">
        <f>7.03 * CHOOSE(CONTROL!$C$22, $C$13, 100%, $E$13)</f>
        <v>7.03</v>
      </c>
    </row>
    <row r="394" spans="1:11" ht="15">
      <c r="A394" s="13">
        <v>53632</v>
      </c>
      <c r="B394" s="63">
        <f>6.093 * CHOOSE(CONTROL!$C$22, $C$13, 100%, $E$13)</f>
        <v>6.093</v>
      </c>
      <c r="C394" s="63">
        <f>6.093 * CHOOSE(CONTROL!$C$22, $C$13, 100%, $E$13)</f>
        <v>6.093</v>
      </c>
      <c r="D394" s="63">
        <f>6.113 * CHOOSE(CONTROL!$C$22, $C$13, 100%, $E$13)</f>
        <v>6.1130000000000004</v>
      </c>
      <c r="E394" s="64">
        <f>7.0479 * CHOOSE(CONTROL!$C$22, $C$13, 100%, $E$13)</f>
        <v>7.0479000000000003</v>
      </c>
      <c r="F394" s="64">
        <f>7.0479 * CHOOSE(CONTROL!$C$22, $C$13, 100%, $E$13)</f>
        <v>7.0479000000000003</v>
      </c>
      <c r="G394" s="64">
        <f>7.0481 * CHOOSE(CONTROL!$C$22, $C$13, 100%, $E$13)</f>
        <v>7.0480999999999998</v>
      </c>
      <c r="H394" s="64">
        <f>12.3781* CHOOSE(CONTROL!$C$22, $C$13, 100%, $E$13)</f>
        <v>12.3781</v>
      </c>
      <c r="I394" s="64">
        <f>12.3783 * CHOOSE(CONTROL!$C$22, $C$13, 100%, $E$13)</f>
        <v>12.378299999999999</v>
      </c>
      <c r="J394" s="64">
        <f>7.0479 * CHOOSE(CONTROL!$C$22, $C$13, 100%, $E$13)</f>
        <v>7.0479000000000003</v>
      </c>
      <c r="K394" s="64">
        <f>7.0481 * CHOOSE(CONTROL!$C$22, $C$13, 100%, $E$13)</f>
        <v>7.0480999999999998</v>
      </c>
    </row>
    <row r="395" spans="1:11" ht="15">
      <c r="A395" s="13">
        <v>53662</v>
      </c>
      <c r="B395" s="63">
        <f>6.093 * CHOOSE(CONTROL!$C$22, $C$13, 100%, $E$13)</f>
        <v>6.093</v>
      </c>
      <c r="C395" s="63">
        <f>6.093 * CHOOSE(CONTROL!$C$22, $C$13, 100%, $E$13)</f>
        <v>6.093</v>
      </c>
      <c r="D395" s="63">
        <f>6.113 * CHOOSE(CONTROL!$C$22, $C$13, 100%, $E$13)</f>
        <v>6.1130000000000004</v>
      </c>
      <c r="E395" s="64">
        <f>7.008 * CHOOSE(CONTROL!$C$22, $C$13, 100%, $E$13)</f>
        <v>7.008</v>
      </c>
      <c r="F395" s="64">
        <f>7.008 * CHOOSE(CONTROL!$C$22, $C$13, 100%, $E$13)</f>
        <v>7.008</v>
      </c>
      <c r="G395" s="64">
        <f>7.0082 * CHOOSE(CONTROL!$C$22, $C$13, 100%, $E$13)</f>
        <v>7.0082000000000004</v>
      </c>
      <c r="H395" s="64">
        <f>12.4039* CHOOSE(CONTROL!$C$22, $C$13, 100%, $E$13)</f>
        <v>12.4039</v>
      </c>
      <c r="I395" s="64">
        <f>12.4041 * CHOOSE(CONTROL!$C$22, $C$13, 100%, $E$13)</f>
        <v>12.4041</v>
      </c>
      <c r="J395" s="64">
        <f>7.008 * CHOOSE(CONTROL!$C$22, $C$13, 100%, $E$13)</f>
        <v>7.008</v>
      </c>
      <c r="K395" s="64">
        <f>7.0082 * CHOOSE(CONTROL!$C$22, $C$13, 100%, $E$13)</f>
        <v>7.0082000000000004</v>
      </c>
    </row>
    <row r="396" spans="1:11" ht="15">
      <c r="A396" s="13">
        <v>53693</v>
      </c>
      <c r="B396" s="63">
        <f>6.148 * CHOOSE(CONTROL!$C$22, $C$13, 100%, $E$13)</f>
        <v>6.1479999999999997</v>
      </c>
      <c r="C396" s="63">
        <f>6.148 * CHOOSE(CONTROL!$C$22, $C$13, 100%, $E$13)</f>
        <v>6.1479999999999997</v>
      </c>
      <c r="D396" s="63">
        <f>6.168 * CHOOSE(CONTROL!$C$22, $C$13, 100%, $E$13)</f>
        <v>6.1680000000000001</v>
      </c>
      <c r="E396" s="64">
        <f>7.1001 * CHOOSE(CONTROL!$C$22, $C$13, 100%, $E$13)</f>
        <v>7.1001000000000003</v>
      </c>
      <c r="F396" s="64">
        <f>7.1001 * CHOOSE(CONTROL!$C$22, $C$13, 100%, $E$13)</f>
        <v>7.1001000000000003</v>
      </c>
      <c r="G396" s="64">
        <f>7.1003 * CHOOSE(CONTROL!$C$22, $C$13, 100%, $E$13)</f>
        <v>7.1002999999999998</v>
      </c>
      <c r="H396" s="64">
        <f>12.4297* CHOOSE(CONTROL!$C$22, $C$13, 100%, $E$13)</f>
        <v>12.4297</v>
      </c>
      <c r="I396" s="64">
        <f>12.4299 * CHOOSE(CONTROL!$C$22, $C$13, 100%, $E$13)</f>
        <v>12.4299</v>
      </c>
      <c r="J396" s="64">
        <f>7.1001 * CHOOSE(CONTROL!$C$22, $C$13, 100%, $E$13)</f>
        <v>7.1001000000000003</v>
      </c>
      <c r="K396" s="64">
        <f>7.1003 * CHOOSE(CONTROL!$C$22, $C$13, 100%, $E$13)</f>
        <v>7.1002999999999998</v>
      </c>
    </row>
    <row r="397" spans="1:11" ht="15">
      <c r="A397" s="13">
        <v>53724</v>
      </c>
      <c r="B397" s="63">
        <f>6.145 * CHOOSE(CONTROL!$C$22, $C$13, 100%, $E$13)</f>
        <v>6.1449999999999996</v>
      </c>
      <c r="C397" s="63">
        <f>6.145 * CHOOSE(CONTROL!$C$22, $C$13, 100%, $E$13)</f>
        <v>6.1449999999999996</v>
      </c>
      <c r="D397" s="63">
        <f>6.165 * CHOOSE(CONTROL!$C$22, $C$13, 100%, $E$13)</f>
        <v>6.165</v>
      </c>
      <c r="E397" s="64">
        <f>7.0205 * CHOOSE(CONTROL!$C$22, $C$13, 100%, $E$13)</f>
        <v>7.0205000000000002</v>
      </c>
      <c r="F397" s="64">
        <f>7.0205 * CHOOSE(CONTROL!$C$22, $C$13, 100%, $E$13)</f>
        <v>7.0205000000000002</v>
      </c>
      <c r="G397" s="64">
        <f>7.0206 * CHOOSE(CONTROL!$C$22, $C$13, 100%, $E$13)</f>
        <v>7.0206</v>
      </c>
      <c r="H397" s="64">
        <f>12.4556* CHOOSE(CONTROL!$C$22, $C$13, 100%, $E$13)</f>
        <v>12.4556</v>
      </c>
      <c r="I397" s="64">
        <f>12.4558 * CHOOSE(CONTROL!$C$22, $C$13, 100%, $E$13)</f>
        <v>12.4558</v>
      </c>
      <c r="J397" s="64">
        <f>7.0205 * CHOOSE(CONTROL!$C$22, $C$13, 100%, $E$13)</f>
        <v>7.0205000000000002</v>
      </c>
      <c r="K397" s="64">
        <f>7.0206 * CHOOSE(CONTROL!$C$22, $C$13, 100%, $E$13)</f>
        <v>7.0206</v>
      </c>
    </row>
    <row r="398" spans="1:11" ht="15">
      <c r="A398" s="13">
        <v>53752</v>
      </c>
      <c r="B398" s="63">
        <f>6.1419 * CHOOSE(CONTROL!$C$22, $C$13, 100%, $E$13)</f>
        <v>6.1418999999999997</v>
      </c>
      <c r="C398" s="63">
        <f>6.1419 * CHOOSE(CONTROL!$C$22, $C$13, 100%, $E$13)</f>
        <v>6.1418999999999997</v>
      </c>
      <c r="D398" s="63">
        <f>6.1619 * CHOOSE(CONTROL!$C$22, $C$13, 100%, $E$13)</f>
        <v>6.1619000000000002</v>
      </c>
      <c r="E398" s="64">
        <f>7.0795 * CHOOSE(CONTROL!$C$22, $C$13, 100%, $E$13)</f>
        <v>7.0795000000000003</v>
      </c>
      <c r="F398" s="64">
        <f>7.0795 * CHOOSE(CONTROL!$C$22, $C$13, 100%, $E$13)</f>
        <v>7.0795000000000003</v>
      </c>
      <c r="G398" s="64">
        <f>7.0797 * CHOOSE(CONTROL!$C$22, $C$13, 100%, $E$13)</f>
        <v>7.0796999999999999</v>
      </c>
      <c r="H398" s="64">
        <f>12.4816* CHOOSE(CONTROL!$C$22, $C$13, 100%, $E$13)</f>
        <v>12.4816</v>
      </c>
      <c r="I398" s="64">
        <f>12.4817 * CHOOSE(CONTROL!$C$22, $C$13, 100%, $E$13)</f>
        <v>12.4817</v>
      </c>
      <c r="J398" s="64">
        <f>7.0795 * CHOOSE(CONTROL!$C$22, $C$13, 100%, $E$13)</f>
        <v>7.0795000000000003</v>
      </c>
      <c r="K398" s="64">
        <f>7.0797 * CHOOSE(CONTROL!$C$22, $C$13, 100%, $E$13)</f>
        <v>7.0796999999999999</v>
      </c>
    </row>
    <row r="399" spans="1:11" ht="15">
      <c r="A399" s="13">
        <v>53783</v>
      </c>
      <c r="B399" s="63">
        <f>6.1415 * CHOOSE(CONTROL!$C$22, $C$13, 100%, $E$13)</f>
        <v>6.1414999999999997</v>
      </c>
      <c r="C399" s="63">
        <f>6.1415 * CHOOSE(CONTROL!$C$22, $C$13, 100%, $E$13)</f>
        <v>6.1414999999999997</v>
      </c>
      <c r="D399" s="63">
        <f>6.1615 * CHOOSE(CONTROL!$C$22, $C$13, 100%, $E$13)</f>
        <v>6.1615000000000002</v>
      </c>
      <c r="E399" s="64">
        <f>7.1409 * CHOOSE(CONTROL!$C$22, $C$13, 100%, $E$13)</f>
        <v>7.1409000000000002</v>
      </c>
      <c r="F399" s="64">
        <f>7.1409 * CHOOSE(CONTROL!$C$22, $C$13, 100%, $E$13)</f>
        <v>7.1409000000000002</v>
      </c>
      <c r="G399" s="64">
        <f>7.1411 * CHOOSE(CONTROL!$C$22, $C$13, 100%, $E$13)</f>
        <v>7.1410999999999998</v>
      </c>
      <c r="H399" s="64">
        <f>12.5076* CHOOSE(CONTROL!$C$22, $C$13, 100%, $E$13)</f>
        <v>12.5076</v>
      </c>
      <c r="I399" s="64">
        <f>12.5078 * CHOOSE(CONTROL!$C$22, $C$13, 100%, $E$13)</f>
        <v>12.5078</v>
      </c>
      <c r="J399" s="64">
        <f>7.1409 * CHOOSE(CONTROL!$C$22, $C$13, 100%, $E$13)</f>
        <v>7.1409000000000002</v>
      </c>
      <c r="K399" s="64">
        <f>7.1411 * CHOOSE(CONTROL!$C$22, $C$13, 100%, $E$13)</f>
        <v>7.1410999999999998</v>
      </c>
    </row>
    <row r="400" spans="1:11" ht="15">
      <c r="A400" s="13">
        <v>53813</v>
      </c>
      <c r="B400" s="63">
        <f>6.1415 * CHOOSE(CONTROL!$C$22, $C$13, 100%, $E$13)</f>
        <v>6.1414999999999997</v>
      </c>
      <c r="C400" s="63">
        <f>6.1415 * CHOOSE(CONTROL!$C$22, $C$13, 100%, $E$13)</f>
        <v>6.1414999999999997</v>
      </c>
      <c r="D400" s="63">
        <f>6.1815 * CHOOSE(CONTROL!$C$22, $C$13, 100%, $E$13)</f>
        <v>6.1814999999999998</v>
      </c>
      <c r="E400" s="64">
        <f>7.1655 * CHOOSE(CONTROL!$C$22, $C$13, 100%, $E$13)</f>
        <v>7.1654999999999998</v>
      </c>
      <c r="F400" s="64">
        <f>7.1655 * CHOOSE(CONTROL!$C$22, $C$13, 100%, $E$13)</f>
        <v>7.1654999999999998</v>
      </c>
      <c r="G400" s="64">
        <f>7.1679 * CHOOSE(CONTROL!$C$22, $C$13, 100%, $E$13)</f>
        <v>7.1679000000000004</v>
      </c>
      <c r="H400" s="64">
        <f>12.5336* CHOOSE(CONTROL!$C$22, $C$13, 100%, $E$13)</f>
        <v>12.5336</v>
      </c>
      <c r="I400" s="64">
        <f>12.5361 * CHOOSE(CONTROL!$C$22, $C$13, 100%, $E$13)</f>
        <v>12.536099999999999</v>
      </c>
      <c r="J400" s="64">
        <f>7.1655 * CHOOSE(CONTROL!$C$22, $C$13, 100%, $E$13)</f>
        <v>7.1654999999999998</v>
      </c>
      <c r="K400" s="64">
        <f>7.1679 * CHOOSE(CONTROL!$C$22, $C$13, 100%, $E$13)</f>
        <v>7.1679000000000004</v>
      </c>
    </row>
    <row r="401" spans="1:11" ht="15">
      <c r="A401" s="13">
        <v>53844</v>
      </c>
      <c r="B401" s="63">
        <f>6.1476 * CHOOSE(CONTROL!$C$22, $C$13, 100%, $E$13)</f>
        <v>6.1475999999999997</v>
      </c>
      <c r="C401" s="63">
        <f>6.1476 * CHOOSE(CONTROL!$C$22, $C$13, 100%, $E$13)</f>
        <v>6.1475999999999997</v>
      </c>
      <c r="D401" s="63">
        <f>6.1875 * CHOOSE(CONTROL!$C$22, $C$13, 100%, $E$13)</f>
        <v>6.1875</v>
      </c>
      <c r="E401" s="64">
        <f>7.1451 * CHOOSE(CONTROL!$C$22, $C$13, 100%, $E$13)</f>
        <v>7.1451000000000002</v>
      </c>
      <c r="F401" s="64">
        <f>7.1451 * CHOOSE(CONTROL!$C$22, $C$13, 100%, $E$13)</f>
        <v>7.1451000000000002</v>
      </c>
      <c r="G401" s="64">
        <f>7.1476 * CHOOSE(CONTROL!$C$22, $C$13, 100%, $E$13)</f>
        <v>7.1475999999999997</v>
      </c>
      <c r="H401" s="64">
        <f>12.5597* CHOOSE(CONTROL!$C$22, $C$13, 100%, $E$13)</f>
        <v>12.559699999999999</v>
      </c>
      <c r="I401" s="64">
        <f>12.5622 * CHOOSE(CONTROL!$C$22, $C$13, 100%, $E$13)</f>
        <v>12.562200000000001</v>
      </c>
      <c r="J401" s="64">
        <f>7.1451 * CHOOSE(CONTROL!$C$22, $C$13, 100%, $E$13)</f>
        <v>7.1451000000000002</v>
      </c>
      <c r="K401" s="64">
        <f>7.1476 * CHOOSE(CONTROL!$C$22, $C$13, 100%, $E$13)</f>
        <v>7.1475999999999997</v>
      </c>
    </row>
    <row r="402" spans="1:11" ht="15">
      <c r="A402" s="13">
        <v>53874</v>
      </c>
      <c r="B402" s="63">
        <f>6.2497 * CHOOSE(CONTROL!$C$22, $C$13, 100%, $E$13)</f>
        <v>6.2496999999999998</v>
      </c>
      <c r="C402" s="63">
        <f>6.2497 * CHOOSE(CONTROL!$C$22, $C$13, 100%, $E$13)</f>
        <v>6.2496999999999998</v>
      </c>
      <c r="D402" s="63">
        <f>6.2897 * CHOOSE(CONTROL!$C$22, $C$13, 100%, $E$13)</f>
        <v>6.2896999999999998</v>
      </c>
      <c r="E402" s="64">
        <f>7.2868 * CHOOSE(CONTROL!$C$22, $C$13, 100%, $E$13)</f>
        <v>7.2868000000000004</v>
      </c>
      <c r="F402" s="64">
        <f>7.2868 * CHOOSE(CONTROL!$C$22, $C$13, 100%, $E$13)</f>
        <v>7.2868000000000004</v>
      </c>
      <c r="G402" s="64">
        <f>7.2893 * CHOOSE(CONTROL!$C$22, $C$13, 100%, $E$13)</f>
        <v>7.2892999999999999</v>
      </c>
      <c r="H402" s="64">
        <f>12.5859* CHOOSE(CONTROL!$C$22, $C$13, 100%, $E$13)</f>
        <v>12.585900000000001</v>
      </c>
      <c r="I402" s="64">
        <f>12.5884 * CHOOSE(CONTROL!$C$22, $C$13, 100%, $E$13)</f>
        <v>12.5884</v>
      </c>
      <c r="J402" s="64">
        <f>7.2868 * CHOOSE(CONTROL!$C$22, $C$13, 100%, $E$13)</f>
        <v>7.2868000000000004</v>
      </c>
      <c r="K402" s="64">
        <f>7.2893 * CHOOSE(CONTROL!$C$22, $C$13, 100%, $E$13)</f>
        <v>7.2892999999999999</v>
      </c>
    </row>
    <row r="403" spans="1:11" ht="15">
      <c r="A403" s="13">
        <v>53905</v>
      </c>
      <c r="B403" s="63">
        <f>6.2564 * CHOOSE(CONTROL!$C$22, $C$13, 100%, $E$13)</f>
        <v>6.2564000000000002</v>
      </c>
      <c r="C403" s="63">
        <f>6.2564 * CHOOSE(CONTROL!$C$22, $C$13, 100%, $E$13)</f>
        <v>6.2564000000000002</v>
      </c>
      <c r="D403" s="63">
        <f>6.2963 * CHOOSE(CONTROL!$C$22, $C$13, 100%, $E$13)</f>
        <v>6.2962999999999996</v>
      </c>
      <c r="E403" s="64">
        <f>7.2176 * CHOOSE(CONTROL!$C$22, $C$13, 100%, $E$13)</f>
        <v>7.2176</v>
      </c>
      <c r="F403" s="64">
        <f>7.2176 * CHOOSE(CONTROL!$C$22, $C$13, 100%, $E$13)</f>
        <v>7.2176</v>
      </c>
      <c r="G403" s="64">
        <f>7.2201 * CHOOSE(CONTROL!$C$22, $C$13, 100%, $E$13)</f>
        <v>7.2201000000000004</v>
      </c>
      <c r="H403" s="64">
        <f>12.6121* CHOOSE(CONTROL!$C$22, $C$13, 100%, $E$13)</f>
        <v>12.6121</v>
      </c>
      <c r="I403" s="64">
        <f>12.6146 * CHOOSE(CONTROL!$C$22, $C$13, 100%, $E$13)</f>
        <v>12.614599999999999</v>
      </c>
      <c r="J403" s="64">
        <f>7.2176 * CHOOSE(CONTROL!$C$22, $C$13, 100%, $E$13)</f>
        <v>7.2176</v>
      </c>
      <c r="K403" s="64">
        <f>7.2201 * CHOOSE(CONTROL!$C$22, $C$13, 100%, $E$13)</f>
        <v>7.2201000000000004</v>
      </c>
    </row>
    <row r="404" spans="1:11" ht="15">
      <c r="A404" s="13">
        <v>53936</v>
      </c>
      <c r="B404" s="63">
        <f>6.2534 * CHOOSE(CONTROL!$C$22, $C$13, 100%, $E$13)</f>
        <v>6.2534000000000001</v>
      </c>
      <c r="C404" s="63">
        <f>6.2534 * CHOOSE(CONTROL!$C$22, $C$13, 100%, $E$13)</f>
        <v>6.2534000000000001</v>
      </c>
      <c r="D404" s="63">
        <f>6.2933 * CHOOSE(CONTROL!$C$22, $C$13, 100%, $E$13)</f>
        <v>6.2933000000000003</v>
      </c>
      <c r="E404" s="64">
        <f>7.2073 * CHOOSE(CONTROL!$C$22, $C$13, 100%, $E$13)</f>
        <v>7.2073</v>
      </c>
      <c r="F404" s="64">
        <f>7.2073 * CHOOSE(CONTROL!$C$22, $C$13, 100%, $E$13)</f>
        <v>7.2073</v>
      </c>
      <c r="G404" s="64">
        <f>7.2097 * CHOOSE(CONTROL!$C$22, $C$13, 100%, $E$13)</f>
        <v>7.2096999999999998</v>
      </c>
      <c r="H404" s="64">
        <f>12.6384* CHOOSE(CONTROL!$C$22, $C$13, 100%, $E$13)</f>
        <v>12.638400000000001</v>
      </c>
      <c r="I404" s="64">
        <f>12.6409 * CHOOSE(CONTROL!$C$22, $C$13, 100%, $E$13)</f>
        <v>12.6409</v>
      </c>
      <c r="J404" s="64">
        <f>7.2073 * CHOOSE(CONTROL!$C$22, $C$13, 100%, $E$13)</f>
        <v>7.2073</v>
      </c>
      <c r="K404" s="64">
        <f>7.2097 * CHOOSE(CONTROL!$C$22, $C$13, 100%, $E$13)</f>
        <v>7.2096999999999998</v>
      </c>
    </row>
    <row r="405" spans="1:11" ht="15">
      <c r="A405" s="13">
        <v>53966</v>
      </c>
      <c r="B405" s="63">
        <f>6.2562 * CHOOSE(CONTROL!$C$22, $C$13, 100%, $E$13)</f>
        <v>6.2561999999999998</v>
      </c>
      <c r="C405" s="63">
        <f>6.2562 * CHOOSE(CONTROL!$C$22, $C$13, 100%, $E$13)</f>
        <v>6.2561999999999998</v>
      </c>
      <c r="D405" s="63">
        <f>6.2762 * CHOOSE(CONTROL!$C$22, $C$13, 100%, $E$13)</f>
        <v>6.2762000000000002</v>
      </c>
      <c r="E405" s="64">
        <f>7.2267 * CHOOSE(CONTROL!$C$22, $C$13, 100%, $E$13)</f>
        <v>7.2267000000000001</v>
      </c>
      <c r="F405" s="64">
        <f>7.2267 * CHOOSE(CONTROL!$C$22, $C$13, 100%, $E$13)</f>
        <v>7.2267000000000001</v>
      </c>
      <c r="G405" s="64">
        <f>7.2269 * CHOOSE(CONTROL!$C$22, $C$13, 100%, $E$13)</f>
        <v>7.2268999999999997</v>
      </c>
      <c r="H405" s="64">
        <f>12.6647* CHOOSE(CONTROL!$C$22, $C$13, 100%, $E$13)</f>
        <v>12.6647</v>
      </c>
      <c r="I405" s="64">
        <f>12.6649 * CHOOSE(CONTROL!$C$22, $C$13, 100%, $E$13)</f>
        <v>12.664899999999999</v>
      </c>
      <c r="J405" s="64">
        <f>7.2267 * CHOOSE(CONTROL!$C$22, $C$13, 100%, $E$13)</f>
        <v>7.2267000000000001</v>
      </c>
      <c r="K405" s="64">
        <f>7.2269 * CHOOSE(CONTROL!$C$22, $C$13, 100%, $E$13)</f>
        <v>7.2268999999999997</v>
      </c>
    </row>
    <row r="406" spans="1:11" ht="15">
      <c r="A406" s="13">
        <v>53997</v>
      </c>
      <c r="B406" s="63">
        <f>6.2592 * CHOOSE(CONTROL!$C$22, $C$13, 100%, $E$13)</f>
        <v>6.2591999999999999</v>
      </c>
      <c r="C406" s="63">
        <f>6.2592 * CHOOSE(CONTROL!$C$22, $C$13, 100%, $E$13)</f>
        <v>6.2591999999999999</v>
      </c>
      <c r="D406" s="63">
        <f>6.2792 * CHOOSE(CONTROL!$C$22, $C$13, 100%, $E$13)</f>
        <v>6.2792000000000003</v>
      </c>
      <c r="E406" s="64">
        <f>7.2452 * CHOOSE(CONTROL!$C$22, $C$13, 100%, $E$13)</f>
        <v>7.2451999999999996</v>
      </c>
      <c r="F406" s="64">
        <f>7.2452 * CHOOSE(CONTROL!$C$22, $C$13, 100%, $E$13)</f>
        <v>7.2451999999999996</v>
      </c>
      <c r="G406" s="64">
        <f>7.2454 * CHOOSE(CONTROL!$C$22, $C$13, 100%, $E$13)</f>
        <v>7.2454000000000001</v>
      </c>
      <c r="H406" s="64">
        <f>12.6911* CHOOSE(CONTROL!$C$22, $C$13, 100%, $E$13)</f>
        <v>12.6911</v>
      </c>
      <c r="I406" s="64">
        <f>12.6913 * CHOOSE(CONTROL!$C$22, $C$13, 100%, $E$13)</f>
        <v>12.6913</v>
      </c>
      <c r="J406" s="64">
        <f>7.2452 * CHOOSE(CONTROL!$C$22, $C$13, 100%, $E$13)</f>
        <v>7.2451999999999996</v>
      </c>
      <c r="K406" s="64">
        <f>7.2454 * CHOOSE(CONTROL!$C$22, $C$13, 100%, $E$13)</f>
        <v>7.2454000000000001</v>
      </c>
    </row>
    <row r="407" spans="1:11" ht="15">
      <c r="A407" s="13">
        <v>54027</v>
      </c>
      <c r="B407" s="63">
        <f>6.2592 * CHOOSE(CONTROL!$C$22, $C$13, 100%, $E$13)</f>
        <v>6.2591999999999999</v>
      </c>
      <c r="C407" s="63">
        <f>6.2592 * CHOOSE(CONTROL!$C$22, $C$13, 100%, $E$13)</f>
        <v>6.2591999999999999</v>
      </c>
      <c r="D407" s="63">
        <f>6.2792 * CHOOSE(CONTROL!$C$22, $C$13, 100%, $E$13)</f>
        <v>6.2792000000000003</v>
      </c>
      <c r="E407" s="64">
        <f>7.2042 * CHOOSE(CONTROL!$C$22, $C$13, 100%, $E$13)</f>
        <v>7.2042000000000002</v>
      </c>
      <c r="F407" s="64">
        <f>7.2042 * CHOOSE(CONTROL!$C$22, $C$13, 100%, $E$13)</f>
        <v>7.2042000000000002</v>
      </c>
      <c r="G407" s="64">
        <f>7.2044 * CHOOSE(CONTROL!$C$22, $C$13, 100%, $E$13)</f>
        <v>7.2043999999999997</v>
      </c>
      <c r="H407" s="64">
        <f>12.7176* CHOOSE(CONTROL!$C$22, $C$13, 100%, $E$13)</f>
        <v>12.717599999999999</v>
      </c>
      <c r="I407" s="64">
        <f>12.7177 * CHOOSE(CONTROL!$C$22, $C$13, 100%, $E$13)</f>
        <v>12.717700000000001</v>
      </c>
      <c r="J407" s="64">
        <f>7.2042 * CHOOSE(CONTROL!$C$22, $C$13, 100%, $E$13)</f>
        <v>7.2042000000000002</v>
      </c>
      <c r="K407" s="64">
        <f>7.2044 * CHOOSE(CONTROL!$C$22, $C$13, 100%, $E$13)</f>
        <v>7.2043999999999997</v>
      </c>
    </row>
    <row r="408" spans="1:11" ht="15">
      <c r="A408" s="13">
        <v>54058</v>
      </c>
      <c r="B408" s="63">
        <f>6.3156 * CHOOSE(CONTROL!$C$22, $C$13, 100%, $E$13)</f>
        <v>6.3155999999999999</v>
      </c>
      <c r="C408" s="63">
        <f>6.3156 * CHOOSE(CONTROL!$C$22, $C$13, 100%, $E$13)</f>
        <v>6.3155999999999999</v>
      </c>
      <c r="D408" s="63">
        <f>6.3356 * CHOOSE(CONTROL!$C$22, $C$13, 100%, $E$13)</f>
        <v>6.3356000000000003</v>
      </c>
      <c r="E408" s="64">
        <f>7.2988 * CHOOSE(CONTROL!$C$22, $C$13, 100%, $E$13)</f>
        <v>7.2988</v>
      </c>
      <c r="F408" s="64">
        <f>7.2988 * CHOOSE(CONTROL!$C$22, $C$13, 100%, $E$13)</f>
        <v>7.2988</v>
      </c>
      <c r="G408" s="64">
        <f>7.299 * CHOOSE(CONTROL!$C$22, $C$13, 100%, $E$13)</f>
        <v>7.2990000000000004</v>
      </c>
      <c r="H408" s="64">
        <f>12.7441* CHOOSE(CONTROL!$C$22, $C$13, 100%, $E$13)</f>
        <v>12.7441</v>
      </c>
      <c r="I408" s="64">
        <f>12.7442 * CHOOSE(CONTROL!$C$22, $C$13, 100%, $E$13)</f>
        <v>12.744199999999999</v>
      </c>
      <c r="J408" s="64">
        <f>7.2988 * CHOOSE(CONTROL!$C$22, $C$13, 100%, $E$13)</f>
        <v>7.2988</v>
      </c>
      <c r="K408" s="64">
        <f>7.299 * CHOOSE(CONTROL!$C$22, $C$13, 100%, $E$13)</f>
        <v>7.2990000000000004</v>
      </c>
    </row>
    <row r="409" spans="1:11" ht="15">
      <c r="A409" s="13">
        <v>54089</v>
      </c>
      <c r="B409" s="63">
        <f>6.3126 * CHOOSE(CONTROL!$C$22, $C$13, 100%, $E$13)</f>
        <v>6.3125999999999998</v>
      </c>
      <c r="C409" s="63">
        <f>6.3126 * CHOOSE(CONTROL!$C$22, $C$13, 100%, $E$13)</f>
        <v>6.3125999999999998</v>
      </c>
      <c r="D409" s="63">
        <f>6.3326 * CHOOSE(CONTROL!$C$22, $C$13, 100%, $E$13)</f>
        <v>6.3326000000000002</v>
      </c>
      <c r="E409" s="64">
        <f>7.217 * CHOOSE(CONTROL!$C$22, $C$13, 100%, $E$13)</f>
        <v>7.2169999999999996</v>
      </c>
      <c r="F409" s="64">
        <f>7.217 * CHOOSE(CONTROL!$C$22, $C$13, 100%, $E$13)</f>
        <v>7.2169999999999996</v>
      </c>
      <c r="G409" s="64">
        <f>7.2172 * CHOOSE(CONTROL!$C$22, $C$13, 100%, $E$13)</f>
        <v>7.2172000000000001</v>
      </c>
      <c r="H409" s="64">
        <f>12.7706* CHOOSE(CONTROL!$C$22, $C$13, 100%, $E$13)</f>
        <v>12.7706</v>
      </c>
      <c r="I409" s="64">
        <f>12.7708 * CHOOSE(CONTROL!$C$22, $C$13, 100%, $E$13)</f>
        <v>12.770799999999999</v>
      </c>
      <c r="J409" s="64">
        <f>7.217 * CHOOSE(CONTROL!$C$22, $C$13, 100%, $E$13)</f>
        <v>7.2169999999999996</v>
      </c>
      <c r="K409" s="64">
        <f>7.2172 * CHOOSE(CONTROL!$C$22, $C$13, 100%, $E$13)</f>
        <v>7.2172000000000001</v>
      </c>
    </row>
    <row r="410" spans="1:11" ht="15">
      <c r="A410" s="13">
        <v>54118</v>
      </c>
      <c r="B410" s="63">
        <f>6.3096 * CHOOSE(CONTROL!$C$22, $C$13, 100%, $E$13)</f>
        <v>6.3095999999999997</v>
      </c>
      <c r="C410" s="63">
        <f>6.3096 * CHOOSE(CONTROL!$C$22, $C$13, 100%, $E$13)</f>
        <v>6.3095999999999997</v>
      </c>
      <c r="D410" s="63">
        <f>6.3295 * CHOOSE(CONTROL!$C$22, $C$13, 100%, $E$13)</f>
        <v>6.3295000000000003</v>
      </c>
      <c r="E410" s="64">
        <f>7.2777 * CHOOSE(CONTROL!$C$22, $C$13, 100%, $E$13)</f>
        <v>7.2777000000000003</v>
      </c>
      <c r="F410" s="64">
        <f>7.2777 * CHOOSE(CONTROL!$C$22, $C$13, 100%, $E$13)</f>
        <v>7.2777000000000003</v>
      </c>
      <c r="G410" s="64">
        <f>7.2779 * CHOOSE(CONTROL!$C$22, $C$13, 100%, $E$13)</f>
        <v>7.2778999999999998</v>
      </c>
      <c r="H410" s="64">
        <f>12.7972* CHOOSE(CONTROL!$C$22, $C$13, 100%, $E$13)</f>
        <v>12.7972</v>
      </c>
      <c r="I410" s="64">
        <f>12.7974 * CHOOSE(CONTROL!$C$22, $C$13, 100%, $E$13)</f>
        <v>12.7974</v>
      </c>
      <c r="J410" s="64">
        <f>7.2777 * CHOOSE(CONTROL!$C$22, $C$13, 100%, $E$13)</f>
        <v>7.2777000000000003</v>
      </c>
      <c r="K410" s="64">
        <f>7.2779 * CHOOSE(CONTROL!$C$22, $C$13, 100%, $E$13)</f>
        <v>7.2778999999999998</v>
      </c>
    </row>
    <row r="411" spans="1:11" ht="15">
      <c r="A411" s="13">
        <v>54149</v>
      </c>
      <c r="B411" s="63">
        <f>6.3093 * CHOOSE(CONTROL!$C$22, $C$13, 100%, $E$13)</f>
        <v>6.3093000000000004</v>
      </c>
      <c r="C411" s="63">
        <f>6.3093 * CHOOSE(CONTROL!$C$22, $C$13, 100%, $E$13)</f>
        <v>6.3093000000000004</v>
      </c>
      <c r="D411" s="63">
        <f>6.3293 * CHOOSE(CONTROL!$C$22, $C$13, 100%, $E$13)</f>
        <v>6.3292999999999999</v>
      </c>
      <c r="E411" s="64">
        <f>7.3409 * CHOOSE(CONTROL!$C$22, $C$13, 100%, $E$13)</f>
        <v>7.3409000000000004</v>
      </c>
      <c r="F411" s="64">
        <f>7.3409 * CHOOSE(CONTROL!$C$22, $C$13, 100%, $E$13)</f>
        <v>7.3409000000000004</v>
      </c>
      <c r="G411" s="64">
        <f>7.3411 * CHOOSE(CONTROL!$C$22, $C$13, 100%, $E$13)</f>
        <v>7.3411</v>
      </c>
      <c r="H411" s="64">
        <f>12.8239* CHOOSE(CONTROL!$C$22, $C$13, 100%, $E$13)</f>
        <v>12.8239</v>
      </c>
      <c r="I411" s="64">
        <f>12.824 * CHOOSE(CONTROL!$C$22, $C$13, 100%, $E$13)</f>
        <v>12.824</v>
      </c>
      <c r="J411" s="64">
        <f>7.3409 * CHOOSE(CONTROL!$C$22, $C$13, 100%, $E$13)</f>
        <v>7.3409000000000004</v>
      </c>
      <c r="K411" s="64">
        <f>7.3411 * CHOOSE(CONTROL!$C$22, $C$13, 100%, $E$13)</f>
        <v>7.3411</v>
      </c>
    </row>
    <row r="412" spans="1:11" ht="15">
      <c r="A412" s="13">
        <v>54179</v>
      </c>
      <c r="B412" s="63">
        <f>6.3093 * CHOOSE(CONTROL!$C$22, $C$13, 100%, $E$13)</f>
        <v>6.3093000000000004</v>
      </c>
      <c r="C412" s="63">
        <f>6.3093 * CHOOSE(CONTROL!$C$22, $C$13, 100%, $E$13)</f>
        <v>6.3093000000000004</v>
      </c>
      <c r="D412" s="63">
        <f>6.3492 * CHOOSE(CONTROL!$C$22, $C$13, 100%, $E$13)</f>
        <v>6.3491999999999997</v>
      </c>
      <c r="E412" s="64">
        <f>7.3663 * CHOOSE(CONTROL!$C$22, $C$13, 100%, $E$13)</f>
        <v>7.3662999999999998</v>
      </c>
      <c r="F412" s="64">
        <f>7.3663 * CHOOSE(CONTROL!$C$22, $C$13, 100%, $E$13)</f>
        <v>7.3662999999999998</v>
      </c>
      <c r="G412" s="64">
        <f>7.3687 * CHOOSE(CONTROL!$C$22, $C$13, 100%, $E$13)</f>
        <v>7.3686999999999996</v>
      </c>
      <c r="H412" s="64">
        <f>12.8506* CHOOSE(CONTROL!$C$22, $C$13, 100%, $E$13)</f>
        <v>12.8506</v>
      </c>
      <c r="I412" s="64">
        <f>12.853 * CHOOSE(CONTROL!$C$22, $C$13, 100%, $E$13)</f>
        <v>12.853</v>
      </c>
      <c r="J412" s="64">
        <f>7.3663 * CHOOSE(CONTROL!$C$22, $C$13, 100%, $E$13)</f>
        <v>7.3662999999999998</v>
      </c>
      <c r="K412" s="64">
        <f>7.3687 * CHOOSE(CONTROL!$C$22, $C$13, 100%, $E$13)</f>
        <v>7.3686999999999996</v>
      </c>
    </row>
    <row r="413" spans="1:11" ht="15">
      <c r="A413" s="13">
        <v>54210</v>
      </c>
      <c r="B413" s="63">
        <f>6.3154 * CHOOSE(CONTROL!$C$22, $C$13, 100%, $E$13)</f>
        <v>6.3154000000000003</v>
      </c>
      <c r="C413" s="63">
        <f>6.3154 * CHOOSE(CONTROL!$C$22, $C$13, 100%, $E$13)</f>
        <v>6.3154000000000003</v>
      </c>
      <c r="D413" s="63">
        <f>6.3553 * CHOOSE(CONTROL!$C$22, $C$13, 100%, $E$13)</f>
        <v>6.3552999999999997</v>
      </c>
      <c r="E413" s="64">
        <f>7.3452 * CHOOSE(CONTROL!$C$22, $C$13, 100%, $E$13)</f>
        <v>7.3452000000000002</v>
      </c>
      <c r="F413" s="64">
        <f>7.3452 * CHOOSE(CONTROL!$C$22, $C$13, 100%, $E$13)</f>
        <v>7.3452000000000002</v>
      </c>
      <c r="G413" s="64">
        <f>7.3476 * CHOOSE(CONTROL!$C$22, $C$13, 100%, $E$13)</f>
        <v>7.3475999999999999</v>
      </c>
      <c r="H413" s="64">
        <f>12.8774* CHOOSE(CONTROL!$C$22, $C$13, 100%, $E$13)</f>
        <v>12.8774</v>
      </c>
      <c r="I413" s="64">
        <f>12.8798 * CHOOSE(CONTROL!$C$22, $C$13, 100%, $E$13)</f>
        <v>12.879799999999999</v>
      </c>
      <c r="J413" s="64">
        <f>7.3452 * CHOOSE(CONTROL!$C$22, $C$13, 100%, $E$13)</f>
        <v>7.3452000000000002</v>
      </c>
      <c r="K413" s="64">
        <f>7.3476 * CHOOSE(CONTROL!$C$22, $C$13, 100%, $E$13)</f>
        <v>7.3475999999999999</v>
      </c>
    </row>
    <row r="414" spans="1:11" ht="15">
      <c r="A414" s="13">
        <v>54240</v>
      </c>
      <c r="B414" s="63">
        <f>6.42 * CHOOSE(CONTROL!$C$22, $C$13, 100%, $E$13)</f>
        <v>6.42</v>
      </c>
      <c r="C414" s="63">
        <f>6.42 * CHOOSE(CONTROL!$C$22, $C$13, 100%, $E$13)</f>
        <v>6.42</v>
      </c>
      <c r="D414" s="63">
        <f>6.4599 * CHOOSE(CONTROL!$C$22, $C$13, 100%, $E$13)</f>
        <v>6.4599000000000002</v>
      </c>
      <c r="E414" s="64">
        <f>7.4906 * CHOOSE(CONTROL!$C$22, $C$13, 100%, $E$13)</f>
        <v>7.4905999999999997</v>
      </c>
      <c r="F414" s="64">
        <f>7.4906 * CHOOSE(CONTROL!$C$22, $C$13, 100%, $E$13)</f>
        <v>7.4905999999999997</v>
      </c>
      <c r="G414" s="64">
        <f>7.493 * CHOOSE(CONTROL!$C$22, $C$13, 100%, $E$13)</f>
        <v>7.4930000000000003</v>
      </c>
      <c r="H414" s="64">
        <f>12.9042* CHOOSE(CONTROL!$C$22, $C$13, 100%, $E$13)</f>
        <v>12.904199999999999</v>
      </c>
      <c r="I414" s="64">
        <f>12.9066 * CHOOSE(CONTROL!$C$22, $C$13, 100%, $E$13)</f>
        <v>12.906599999999999</v>
      </c>
      <c r="J414" s="64">
        <f>7.4906 * CHOOSE(CONTROL!$C$22, $C$13, 100%, $E$13)</f>
        <v>7.4905999999999997</v>
      </c>
      <c r="K414" s="64">
        <f>7.493 * CHOOSE(CONTROL!$C$22, $C$13, 100%, $E$13)</f>
        <v>7.4930000000000003</v>
      </c>
    </row>
    <row r="415" spans="1:11" ht="15">
      <c r="A415" s="13">
        <v>54271</v>
      </c>
      <c r="B415" s="63">
        <f>6.4266 * CHOOSE(CONTROL!$C$22, $C$13, 100%, $E$13)</f>
        <v>6.4265999999999996</v>
      </c>
      <c r="C415" s="63">
        <f>6.4266 * CHOOSE(CONTROL!$C$22, $C$13, 100%, $E$13)</f>
        <v>6.4265999999999996</v>
      </c>
      <c r="D415" s="63">
        <f>6.4666 * CHOOSE(CONTROL!$C$22, $C$13, 100%, $E$13)</f>
        <v>6.4665999999999997</v>
      </c>
      <c r="E415" s="64">
        <f>7.4193 * CHOOSE(CONTROL!$C$22, $C$13, 100%, $E$13)</f>
        <v>7.4192999999999998</v>
      </c>
      <c r="F415" s="64">
        <f>7.4193 * CHOOSE(CONTROL!$C$22, $C$13, 100%, $E$13)</f>
        <v>7.4192999999999998</v>
      </c>
      <c r="G415" s="64">
        <f>7.4218 * CHOOSE(CONTROL!$C$22, $C$13, 100%, $E$13)</f>
        <v>7.4218000000000002</v>
      </c>
      <c r="H415" s="64">
        <f>12.9311* CHOOSE(CONTROL!$C$22, $C$13, 100%, $E$13)</f>
        <v>12.931100000000001</v>
      </c>
      <c r="I415" s="64">
        <f>12.9335 * CHOOSE(CONTROL!$C$22, $C$13, 100%, $E$13)</f>
        <v>12.9335</v>
      </c>
      <c r="J415" s="64">
        <f>7.4193 * CHOOSE(CONTROL!$C$22, $C$13, 100%, $E$13)</f>
        <v>7.4192999999999998</v>
      </c>
      <c r="K415" s="64">
        <f>7.4218 * CHOOSE(CONTROL!$C$22, $C$13, 100%, $E$13)</f>
        <v>7.4218000000000002</v>
      </c>
    </row>
    <row r="416" spans="1:11" ht="15">
      <c r="A416" s="13">
        <v>54302</v>
      </c>
      <c r="B416" s="63">
        <f>6.4236 * CHOOSE(CONTROL!$C$22, $C$13, 100%, $E$13)</f>
        <v>6.4236000000000004</v>
      </c>
      <c r="C416" s="63">
        <f>6.4236 * CHOOSE(CONTROL!$C$22, $C$13, 100%, $E$13)</f>
        <v>6.4236000000000004</v>
      </c>
      <c r="D416" s="63">
        <f>6.4635 * CHOOSE(CONTROL!$C$22, $C$13, 100%, $E$13)</f>
        <v>6.4634999999999998</v>
      </c>
      <c r="E416" s="64">
        <f>7.4088 * CHOOSE(CONTROL!$C$22, $C$13, 100%, $E$13)</f>
        <v>7.4088000000000003</v>
      </c>
      <c r="F416" s="64">
        <f>7.4088 * CHOOSE(CONTROL!$C$22, $C$13, 100%, $E$13)</f>
        <v>7.4088000000000003</v>
      </c>
      <c r="G416" s="64">
        <f>7.4112 * CHOOSE(CONTROL!$C$22, $C$13, 100%, $E$13)</f>
        <v>7.4112</v>
      </c>
      <c r="H416" s="64">
        <f>12.958* CHOOSE(CONTROL!$C$22, $C$13, 100%, $E$13)</f>
        <v>12.958</v>
      </c>
      <c r="I416" s="64">
        <f>12.9605 * CHOOSE(CONTROL!$C$22, $C$13, 100%, $E$13)</f>
        <v>12.9605</v>
      </c>
      <c r="J416" s="64">
        <f>7.4088 * CHOOSE(CONTROL!$C$22, $C$13, 100%, $E$13)</f>
        <v>7.4088000000000003</v>
      </c>
      <c r="K416" s="64">
        <f>7.4112 * CHOOSE(CONTROL!$C$22, $C$13, 100%, $E$13)</f>
        <v>7.4112</v>
      </c>
    </row>
    <row r="417" spans="1:11" ht="15">
      <c r="A417" s="13">
        <v>54332</v>
      </c>
      <c r="B417" s="63">
        <f>6.427 * CHOOSE(CONTROL!$C$22, $C$13, 100%, $E$13)</f>
        <v>6.4269999999999996</v>
      </c>
      <c r="C417" s="63">
        <f>6.427 * CHOOSE(CONTROL!$C$22, $C$13, 100%, $E$13)</f>
        <v>6.4269999999999996</v>
      </c>
      <c r="D417" s="63">
        <f>6.447 * CHOOSE(CONTROL!$C$22, $C$13, 100%, $E$13)</f>
        <v>6.4470000000000001</v>
      </c>
      <c r="E417" s="64">
        <f>7.4291 * CHOOSE(CONTROL!$C$22, $C$13, 100%, $E$13)</f>
        <v>7.4291</v>
      </c>
      <c r="F417" s="64">
        <f>7.4291 * CHOOSE(CONTROL!$C$22, $C$13, 100%, $E$13)</f>
        <v>7.4291</v>
      </c>
      <c r="G417" s="64">
        <f>7.4293 * CHOOSE(CONTROL!$C$22, $C$13, 100%, $E$13)</f>
        <v>7.4292999999999996</v>
      </c>
      <c r="H417" s="64">
        <f>12.985* CHOOSE(CONTROL!$C$22, $C$13, 100%, $E$13)</f>
        <v>12.984999999999999</v>
      </c>
      <c r="I417" s="64">
        <f>12.9852 * CHOOSE(CONTROL!$C$22, $C$13, 100%, $E$13)</f>
        <v>12.985200000000001</v>
      </c>
      <c r="J417" s="64">
        <f>7.4291 * CHOOSE(CONTROL!$C$22, $C$13, 100%, $E$13)</f>
        <v>7.4291</v>
      </c>
      <c r="K417" s="64">
        <f>7.4293 * CHOOSE(CONTROL!$C$22, $C$13, 100%, $E$13)</f>
        <v>7.4292999999999996</v>
      </c>
    </row>
    <row r="418" spans="1:11" ht="15">
      <c r="A418" s="13">
        <v>54363</v>
      </c>
      <c r="B418" s="63">
        <f>6.43 * CHOOSE(CONTROL!$C$22, $C$13, 100%, $E$13)</f>
        <v>6.43</v>
      </c>
      <c r="C418" s="63">
        <f>6.43 * CHOOSE(CONTROL!$C$22, $C$13, 100%, $E$13)</f>
        <v>6.43</v>
      </c>
      <c r="D418" s="63">
        <f>6.45 * CHOOSE(CONTROL!$C$22, $C$13, 100%, $E$13)</f>
        <v>6.45</v>
      </c>
      <c r="E418" s="64">
        <f>7.4481 * CHOOSE(CONTROL!$C$22, $C$13, 100%, $E$13)</f>
        <v>7.4481000000000002</v>
      </c>
      <c r="F418" s="64">
        <f>7.4481 * CHOOSE(CONTROL!$C$22, $C$13, 100%, $E$13)</f>
        <v>7.4481000000000002</v>
      </c>
      <c r="G418" s="64">
        <f>7.4483 * CHOOSE(CONTROL!$C$22, $C$13, 100%, $E$13)</f>
        <v>7.4482999999999997</v>
      </c>
      <c r="H418" s="64">
        <f>13.0121* CHOOSE(CONTROL!$C$22, $C$13, 100%, $E$13)</f>
        <v>13.0121</v>
      </c>
      <c r="I418" s="64">
        <f>13.0122 * CHOOSE(CONTROL!$C$22, $C$13, 100%, $E$13)</f>
        <v>13.0122</v>
      </c>
      <c r="J418" s="64">
        <f>7.4481 * CHOOSE(CONTROL!$C$22, $C$13, 100%, $E$13)</f>
        <v>7.4481000000000002</v>
      </c>
      <c r="K418" s="64">
        <f>7.4483 * CHOOSE(CONTROL!$C$22, $C$13, 100%, $E$13)</f>
        <v>7.4482999999999997</v>
      </c>
    </row>
    <row r="419" spans="1:11" ht="15">
      <c r="A419" s="13">
        <v>54393</v>
      </c>
      <c r="B419" s="63">
        <f>6.43 * CHOOSE(CONTROL!$C$22, $C$13, 100%, $E$13)</f>
        <v>6.43</v>
      </c>
      <c r="C419" s="63">
        <f>6.43 * CHOOSE(CONTROL!$C$22, $C$13, 100%, $E$13)</f>
        <v>6.43</v>
      </c>
      <c r="D419" s="63">
        <f>6.45 * CHOOSE(CONTROL!$C$22, $C$13, 100%, $E$13)</f>
        <v>6.45</v>
      </c>
      <c r="E419" s="64">
        <f>7.4059 * CHOOSE(CONTROL!$C$22, $C$13, 100%, $E$13)</f>
        <v>7.4058999999999999</v>
      </c>
      <c r="F419" s="64">
        <f>7.4059 * CHOOSE(CONTROL!$C$22, $C$13, 100%, $E$13)</f>
        <v>7.4058999999999999</v>
      </c>
      <c r="G419" s="64">
        <f>7.4061 * CHOOSE(CONTROL!$C$22, $C$13, 100%, $E$13)</f>
        <v>7.4061000000000003</v>
      </c>
      <c r="H419" s="64">
        <f>13.0392* CHOOSE(CONTROL!$C$22, $C$13, 100%, $E$13)</f>
        <v>13.039199999999999</v>
      </c>
      <c r="I419" s="64">
        <f>13.0393 * CHOOSE(CONTROL!$C$22, $C$13, 100%, $E$13)</f>
        <v>13.039300000000001</v>
      </c>
      <c r="J419" s="64">
        <f>7.4059 * CHOOSE(CONTROL!$C$22, $C$13, 100%, $E$13)</f>
        <v>7.4058999999999999</v>
      </c>
      <c r="K419" s="64">
        <f>7.4061 * CHOOSE(CONTROL!$C$22, $C$13, 100%, $E$13)</f>
        <v>7.4061000000000003</v>
      </c>
    </row>
    <row r="420" spans="1:11" ht="15">
      <c r="A420" s="13">
        <v>54424</v>
      </c>
      <c r="B420" s="63">
        <f>6.4879 * CHOOSE(CONTROL!$C$22, $C$13, 100%, $E$13)</f>
        <v>6.4878999999999998</v>
      </c>
      <c r="C420" s="63">
        <f>6.4879 * CHOOSE(CONTROL!$C$22, $C$13, 100%, $E$13)</f>
        <v>6.4878999999999998</v>
      </c>
      <c r="D420" s="63">
        <f>6.5078 * CHOOSE(CONTROL!$C$22, $C$13, 100%, $E$13)</f>
        <v>6.5077999999999996</v>
      </c>
      <c r="E420" s="64">
        <f>7.5031 * CHOOSE(CONTROL!$C$22, $C$13, 100%, $E$13)</f>
        <v>7.5030999999999999</v>
      </c>
      <c r="F420" s="64">
        <f>7.5031 * CHOOSE(CONTROL!$C$22, $C$13, 100%, $E$13)</f>
        <v>7.5030999999999999</v>
      </c>
      <c r="G420" s="64">
        <f>7.5032 * CHOOSE(CONTROL!$C$22, $C$13, 100%, $E$13)</f>
        <v>7.5031999999999996</v>
      </c>
      <c r="H420" s="64">
        <f>13.0663* CHOOSE(CONTROL!$C$22, $C$13, 100%, $E$13)</f>
        <v>13.0663</v>
      </c>
      <c r="I420" s="64">
        <f>13.0665 * CHOOSE(CONTROL!$C$22, $C$13, 100%, $E$13)</f>
        <v>13.0665</v>
      </c>
      <c r="J420" s="64">
        <f>7.5031 * CHOOSE(CONTROL!$C$22, $C$13, 100%, $E$13)</f>
        <v>7.5030999999999999</v>
      </c>
      <c r="K420" s="64">
        <f>7.5032 * CHOOSE(CONTROL!$C$22, $C$13, 100%, $E$13)</f>
        <v>7.5031999999999996</v>
      </c>
    </row>
    <row r="421" spans="1:11" ht="15">
      <c r="A421" s="13">
        <v>54455</v>
      </c>
      <c r="B421" s="63">
        <f>6.4848 * CHOOSE(CONTROL!$C$22, $C$13, 100%, $E$13)</f>
        <v>6.4847999999999999</v>
      </c>
      <c r="C421" s="63">
        <f>6.4848 * CHOOSE(CONTROL!$C$22, $C$13, 100%, $E$13)</f>
        <v>6.4847999999999999</v>
      </c>
      <c r="D421" s="63">
        <f>6.5048 * CHOOSE(CONTROL!$C$22, $C$13, 100%, $E$13)</f>
        <v>6.5048000000000004</v>
      </c>
      <c r="E421" s="64">
        <f>7.419 * CHOOSE(CONTROL!$C$22, $C$13, 100%, $E$13)</f>
        <v>7.4189999999999996</v>
      </c>
      <c r="F421" s="64">
        <f>7.419 * CHOOSE(CONTROL!$C$22, $C$13, 100%, $E$13)</f>
        <v>7.4189999999999996</v>
      </c>
      <c r="G421" s="64">
        <f>7.4192 * CHOOSE(CONTROL!$C$22, $C$13, 100%, $E$13)</f>
        <v>7.4192</v>
      </c>
      <c r="H421" s="64">
        <f>13.0936* CHOOSE(CONTROL!$C$22, $C$13, 100%, $E$13)</f>
        <v>13.0936</v>
      </c>
      <c r="I421" s="64">
        <f>13.0937 * CHOOSE(CONTROL!$C$22, $C$13, 100%, $E$13)</f>
        <v>13.0937</v>
      </c>
      <c r="J421" s="64">
        <f>7.419 * CHOOSE(CONTROL!$C$22, $C$13, 100%, $E$13)</f>
        <v>7.4189999999999996</v>
      </c>
      <c r="K421" s="64">
        <f>7.4192 * CHOOSE(CONTROL!$C$22, $C$13, 100%, $E$13)</f>
        <v>7.4192</v>
      </c>
    </row>
    <row r="422" spans="1:11" ht="15">
      <c r="A422" s="13">
        <v>54483</v>
      </c>
      <c r="B422" s="63">
        <f>6.4818 * CHOOSE(CONTROL!$C$22, $C$13, 100%, $E$13)</f>
        <v>6.4817999999999998</v>
      </c>
      <c r="C422" s="63">
        <f>6.4818 * CHOOSE(CONTROL!$C$22, $C$13, 100%, $E$13)</f>
        <v>6.4817999999999998</v>
      </c>
      <c r="D422" s="63">
        <f>6.5018 * CHOOSE(CONTROL!$C$22, $C$13, 100%, $E$13)</f>
        <v>6.5018000000000002</v>
      </c>
      <c r="E422" s="64">
        <f>7.4815 * CHOOSE(CONTROL!$C$22, $C$13, 100%, $E$13)</f>
        <v>7.4814999999999996</v>
      </c>
      <c r="F422" s="64">
        <f>7.4815 * CHOOSE(CONTROL!$C$22, $C$13, 100%, $E$13)</f>
        <v>7.4814999999999996</v>
      </c>
      <c r="G422" s="64">
        <f>7.4817 * CHOOSE(CONTROL!$C$22, $C$13, 100%, $E$13)</f>
        <v>7.4817</v>
      </c>
      <c r="H422" s="64">
        <f>13.1208* CHOOSE(CONTROL!$C$22, $C$13, 100%, $E$13)</f>
        <v>13.120799999999999</v>
      </c>
      <c r="I422" s="64">
        <f>13.121 * CHOOSE(CONTROL!$C$22, $C$13, 100%, $E$13)</f>
        <v>13.121</v>
      </c>
      <c r="J422" s="64">
        <f>7.4815 * CHOOSE(CONTROL!$C$22, $C$13, 100%, $E$13)</f>
        <v>7.4814999999999996</v>
      </c>
      <c r="K422" s="64">
        <f>7.4817 * CHOOSE(CONTROL!$C$22, $C$13, 100%, $E$13)</f>
        <v>7.4817</v>
      </c>
    </row>
    <row r="423" spans="1:11" ht="15">
      <c r="A423" s="13">
        <v>54514</v>
      </c>
      <c r="B423" s="63">
        <f>6.4817 * CHOOSE(CONTROL!$C$22, $C$13, 100%, $E$13)</f>
        <v>6.4817</v>
      </c>
      <c r="C423" s="63">
        <f>6.4817 * CHOOSE(CONTROL!$C$22, $C$13, 100%, $E$13)</f>
        <v>6.4817</v>
      </c>
      <c r="D423" s="63">
        <f>6.5016 * CHOOSE(CONTROL!$C$22, $C$13, 100%, $E$13)</f>
        <v>6.5015999999999998</v>
      </c>
      <c r="E423" s="64">
        <f>7.5466 * CHOOSE(CONTROL!$C$22, $C$13, 100%, $E$13)</f>
        <v>7.5465999999999998</v>
      </c>
      <c r="F423" s="64">
        <f>7.5466 * CHOOSE(CONTROL!$C$22, $C$13, 100%, $E$13)</f>
        <v>7.5465999999999998</v>
      </c>
      <c r="G423" s="64">
        <f>7.5468 * CHOOSE(CONTROL!$C$22, $C$13, 100%, $E$13)</f>
        <v>7.5468000000000002</v>
      </c>
      <c r="H423" s="64">
        <f>13.1482* CHOOSE(CONTROL!$C$22, $C$13, 100%, $E$13)</f>
        <v>13.148199999999999</v>
      </c>
      <c r="I423" s="64">
        <f>13.1483 * CHOOSE(CONTROL!$C$22, $C$13, 100%, $E$13)</f>
        <v>13.148300000000001</v>
      </c>
      <c r="J423" s="64">
        <f>7.5466 * CHOOSE(CONTROL!$C$22, $C$13, 100%, $E$13)</f>
        <v>7.5465999999999998</v>
      </c>
      <c r="K423" s="64">
        <f>7.5468 * CHOOSE(CONTROL!$C$22, $C$13, 100%, $E$13)</f>
        <v>7.5468000000000002</v>
      </c>
    </row>
    <row r="424" spans="1:11" ht="15">
      <c r="A424" s="13">
        <v>54544</v>
      </c>
      <c r="B424" s="63">
        <f>6.4817 * CHOOSE(CONTROL!$C$22, $C$13, 100%, $E$13)</f>
        <v>6.4817</v>
      </c>
      <c r="C424" s="63">
        <f>6.4817 * CHOOSE(CONTROL!$C$22, $C$13, 100%, $E$13)</f>
        <v>6.4817</v>
      </c>
      <c r="D424" s="63">
        <f>6.5216 * CHOOSE(CONTROL!$C$22, $C$13, 100%, $E$13)</f>
        <v>6.5216000000000003</v>
      </c>
      <c r="E424" s="64">
        <f>7.5726 * CHOOSE(CONTROL!$C$22, $C$13, 100%, $E$13)</f>
        <v>7.5726000000000004</v>
      </c>
      <c r="F424" s="64">
        <f>7.5726 * CHOOSE(CONTROL!$C$22, $C$13, 100%, $E$13)</f>
        <v>7.5726000000000004</v>
      </c>
      <c r="G424" s="64">
        <f>7.5751 * CHOOSE(CONTROL!$C$22, $C$13, 100%, $E$13)</f>
        <v>7.5750999999999999</v>
      </c>
      <c r="H424" s="64">
        <f>13.1756* CHOOSE(CONTROL!$C$22, $C$13, 100%, $E$13)</f>
        <v>13.175599999999999</v>
      </c>
      <c r="I424" s="64">
        <f>13.178 * CHOOSE(CONTROL!$C$22, $C$13, 100%, $E$13)</f>
        <v>13.178000000000001</v>
      </c>
      <c r="J424" s="64">
        <f>7.5726 * CHOOSE(CONTROL!$C$22, $C$13, 100%, $E$13)</f>
        <v>7.5726000000000004</v>
      </c>
      <c r="K424" s="64">
        <f>7.5751 * CHOOSE(CONTROL!$C$22, $C$13, 100%, $E$13)</f>
        <v>7.5750999999999999</v>
      </c>
    </row>
    <row r="425" spans="1:11" ht="15">
      <c r="A425" s="13">
        <v>54575</v>
      </c>
      <c r="B425" s="63">
        <f>6.4877 * CHOOSE(CONTROL!$C$22, $C$13, 100%, $E$13)</f>
        <v>6.4877000000000002</v>
      </c>
      <c r="C425" s="63">
        <f>6.4877 * CHOOSE(CONTROL!$C$22, $C$13, 100%, $E$13)</f>
        <v>6.4877000000000002</v>
      </c>
      <c r="D425" s="63">
        <f>6.5277 * CHOOSE(CONTROL!$C$22, $C$13, 100%, $E$13)</f>
        <v>6.5277000000000003</v>
      </c>
      <c r="E425" s="64">
        <f>7.5509 * CHOOSE(CONTROL!$C$22, $C$13, 100%, $E$13)</f>
        <v>7.5509000000000004</v>
      </c>
      <c r="F425" s="64">
        <f>7.5509 * CHOOSE(CONTROL!$C$22, $C$13, 100%, $E$13)</f>
        <v>7.5509000000000004</v>
      </c>
      <c r="G425" s="64">
        <f>7.5533 * CHOOSE(CONTROL!$C$22, $C$13, 100%, $E$13)</f>
        <v>7.5533000000000001</v>
      </c>
      <c r="H425" s="64">
        <f>13.203* CHOOSE(CONTROL!$C$22, $C$13, 100%, $E$13)</f>
        <v>13.202999999999999</v>
      </c>
      <c r="I425" s="64">
        <f>13.2055 * CHOOSE(CONTROL!$C$22, $C$13, 100%, $E$13)</f>
        <v>13.205500000000001</v>
      </c>
      <c r="J425" s="64">
        <f>7.5509 * CHOOSE(CONTROL!$C$22, $C$13, 100%, $E$13)</f>
        <v>7.5509000000000004</v>
      </c>
      <c r="K425" s="64">
        <f>7.5533 * CHOOSE(CONTROL!$C$22, $C$13, 100%, $E$13)</f>
        <v>7.5533000000000001</v>
      </c>
    </row>
    <row r="426" spans="1:11" ht="15">
      <c r="A426" s="13">
        <v>54605</v>
      </c>
      <c r="B426" s="63">
        <f>6.5949 * CHOOSE(CONTROL!$C$22, $C$13, 100%, $E$13)</f>
        <v>6.5949</v>
      </c>
      <c r="C426" s="63">
        <f>6.5949 * CHOOSE(CONTROL!$C$22, $C$13, 100%, $E$13)</f>
        <v>6.5949</v>
      </c>
      <c r="D426" s="63">
        <f>6.6348 * CHOOSE(CONTROL!$C$22, $C$13, 100%, $E$13)</f>
        <v>6.6348000000000003</v>
      </c>
      <c r="E426" s="64">
        <f>7.7 * CHOOSE(CONTROL!$C$22, $C$13, 100%, $E$13)</f>
        <v>7.7</v>
      </c>
      <c r="F426" s="64">
        <f>7.7 * CHOOSE(CONTROL!$C$22, $C$13, 100%, $E$13)</f>
        <v>7.7</v>
      </c>
      <c r="G426" s="64">
        <f>7.7025 * CHOOSE(CONTROL!$C$22, $C$13, 100%, $E$13)</f>
        <v>7.7024999999999997</v>
      </c>
      <c r="H426" s="64">
        <f>13.2305* CHOOSE(CONTROL!$C$22, $C$13, 100%, $E$13)</f>
        <v>13.230499999999999</v>
      </c>
      <c r="I426" s="64">
        <f>13.233 * CHOOSE(CONTROL!$C$22, $C$13, 100%, $E$13)</f>
        <v>13.233000000000001</v>
      </c>
      <c r="J426" s="64">
        <f>7.7 * CHOOSE(CONTROL!$C$22, $C$13, 100%, $E$13)</f>
        <v>7.7</v>
      </c>
      <c r="K426" s="64">
        <f>7.7025 * CHOOSE(CONTROL!$C$22, $C$13, 100%, $E$13)</f>
        <v>7.7024999999999997</v>
      </c>
    </row>
    <row r="427" spans="1:11" ht="15">
      <c r="A427" s="13">
        <v>54636</v>
      </c>
      <c r="B427" s="63">
        <f>6.6016 * CHOOSE(CONTROL!$C$22, $C$13, 100%, $E$13)</f>
        <v>6.6016000000000004</v>
      </c>
      <c r="C427" s="63">
        <f>6.6016 * CHOOSE(CONTROL!$C$22, $C$13, 100%, $E$13)</f>
        <v>6.6016000000000004</v>
      </c>
      <c r="D427" s="63">
        <f>6.6415 * CHOOSE(CONTROL!$C$22, $C$13, 100%, $E$13)</f>
        <v>6.6414999999999997</v>
      </c>
      <c r="E427" s="64">
        <f>7.6266 * CHOOSE(CONTROL!$C$22, $C$13, 100%, $E$13)</f>
        <v>7.6265999999999998</v>
      </c>
      <c r="F427" s="64">
        <f>7.6266 * CHOOSE(CONTROL!$C$22, $C$13, 100%, $E$13)</f>
        <v>7.6265999999999998</v>
      </c>
      <c r="G427" s="64">
        <f>7.6291 * CHOOSE(CONTROL!$C$22, $C$13, 100%, $E$13)</f>
        <v>7.6291000000000002</v>
      </c>
      <c r="H427" s="64">
        <f>13.2581* CHOOSE(CONTROL!$C$22, $C$13, 100%, $E$13)</f>
        <v>13.258100000000001</v>
      </c>
      <c r="I427" s="64">
        <f>13.2605 * CHOOSE(CONTROL!$C$22, $C$13, 100%, $E$13)</f>
        <v>13.2605</v>
      </c>
      <c r="J427" s="64">
        <f>7.6266 * CHOOSE(CONTROL!$C$22, $C$13, 100%, $E$13)</f>
        <v>7.6265999999999998</v>
      </c>
      <c r="K427" s="64">
        <f>7.6291 * CHOOSE(CONTROL!$C$22, $C$13, 100%, $E$13)</f>
        <v>7.6291000000000002</v>
      </c>
    </row>
    <row r="428" spans="1:11" ht="15">
      <c r="A428" s="13">
        <v>54667</v>
      </c>
      <c r="B428" s="63">
        <f>6.5985 * CHOOSE(CONTROL!$C$22, $C$13, 100%, $E$13)</f>
        <v>6.5984999999999996</v>
      </c>
      <c r="C428" s="63">
        <f>6.5985 * CHOOSE(CONTROL!$C$22, $C$13, 100%, $E$13)</f>
        <v>6.5984999999999996</v>
      </c>
      <c r="D428" s="63">
        <f>6.6385 * CHOOSE(CONTROL!$C$22, $C$13, 100%, $E$13)</f>
        <v>6.6384999999999996</v>
      </c>
      <c r="E428" s="64">
        <f>7.6159 * CHOOSE(CONTROL!$C$22, $C$13, 100%, $E$13)</f>
        <v>7.6158999999999999</v>
      </c>
      <c r="F428" s="64">
        <f>7.6159 * CHOOSE(CONTROL!$C$22, $C$13, 100%, $E$13)</f>
        <v>7.6158999999999999</v>
      </c>
      <c r="G428" s="64">
        <f>7.6183 * CHOOSE(CONTROL!$C$22, $C$13, 100%, $E$13)</f>
        <v>7.6182999999999996</v>
      </c>
      <c r="H428" s="64">
        <f>13.2857* CHOOSE(CONTROL!$C$22, $C$13, 100%, $E$13)</f>
        <v>13.2857</v>
      </c>
      <c r="I428" s="64">
        <f>13.2881 * CHOOSE(CONTROL!$C$22, $C$13, 100%, $E$13)</f>
        <v>13.2881</v>
      </c>
      <c r="J428" s="64">
        <f>7.6159 * CHOOSE(CONTROL!$C$22, $C$13, 100%, $E$13)</f>
        <v>7.6158999999999999</v>
      </c>
      <c r="K428" s="64">
        <f>7.6183 * CHOOSE(CONTROL!$C$22, $C$13, 100%, $E$13)</f>
        <v>7.6182999999999996</v>
      </c>
    </row>
    <row r="429" spans="1:11" ht="15">
      <c r="A429" s="13">
        <v>54697</v>
      </c>
      <c r="B429" s="63">
        <f>6.6025 * CHOOSE(CONTROL!$C$22, $C$13, 100%, $E$13)</f>
        <v>6.6025</v>
      </c>
      <c r="C429" s="63">
        <f>6.6025 * CHOOSE(CONTROL!$C$22, $C$13, 100%, $E$13)</f>
        <v>6.6025</v>
      </c>
      <c r="D429" s="63">
        <f>6.6225 * CHOOSE(CONTROL!$C$22, $C$13, 100%, $E$13)</f>
        <v>6.6224999999999996</v>
      </c>
      <c r="E429" s="64">
        <f>7.6371 * CHOOSE(CONTROL!$C$22, $C$13, 100%, $E$13)</f>
        <v>7.6371000000000002</v>
      </c>
      <c r="F429" s="64">
        <f>7.6371 * CHOOSE(CONTROL!$C$22, $C$13, 100%, $E$13)</f>
        <v>7.6371000000000002</v>
      </c>
      <c r="G429" s="64">
        <f>7.6373 * CHOOSE(CONTROL!$C$22, $C$13, 100%, $E$13)</f>
        <v>7.6372999999999998</v>
      </c>
      <c r="H429" s="64">
        <f>13.3134* CHOOSE(CONTROL!$C$22, $C$13, 100%, $E$13)</f>
        <v>13.3134</v>
      </c>
      <c r="I429" s="64">
        <f>13.3136 * CHOOSE(CONTROL!$C$22, $C$13, 100%, $E$13)</f>
        <v>13.313599999999999</v>
      </c>
      <c r="J429" s="64">
        <f>7.6371 * CHOOSE(CONTROL!$C$22, $C$13, 100%, $E$13)</f>
        <v>7.6371000000000002</v>
      </c>
      <c r="K429" s="64">
        <f>7.6373 * CHOOSE(CONTROL!$C$22, $C$13, 100%, $E$13)</f>
        <v>7.6372999999999998</v>
      </c>
    </row>
    <row r="430" spans="1:11" ht="15">
      <c r="A430" s="13">
        <v>54728</v>
      </c>
      <c r="B430" s="63">
        <f>6.6056 * CHOOSE(CONTROL!$C$22, $C$13, 100%, $E$13)</f>
        <v>6.6055999999999999</v>
      </c>
      <c r="C430" s="63">
        <f>6.6056 * CHOOSE(CONTROL!$C$22, $C$13, 100%, $E$13)</f>
        <v>6.6055999999999999</v>
      </c>
      <c r="D430" s="63">
        <f>6.6255 * CHOOSE(CONTROL!$C$22, $C$13, 100%, $E$13)</f>
        <v>6.6254999999999997</v>
      </c>
      <c r="E430" s="64">
        <f>7.6566 * CHOOSE(CONTROL!$C$22, $C$13, 100%, $E$13)</f>
        <v>7.6566000000000001</v>
      </c>
      <c r="F430" s="64">
        <f>7.6566 * CHOOSE(CONTROL!$C$22, $C$13, 100%, $E$13)</f>
        <v>7.6566000000000001</v>
      </c>
      <c r="G430" s="64">
        <f>7.6568 * CHOOSE(CONTROL!$C$22, $C$13, 100%, $E$13)</f>
        <v>7.6567999999999996</v>
      </c>
      <c r="H430" s="64">
        <f>13.3411* CHOOSE(CONTROL!$C$22, $C$13, 100%, $E$13)</f>
        <v>13.341100000000001</v>
      </c>
      <c r="I430" s="64">
        <f>13.3413 * CHOOSE(CONTROL!$C$22, $C$13, 100%, $E$13)</f>
        <v>13.3413</v>
      </c>
      <c r="J430" s="64">
        <f>7.6566 * CHOOSE(CONTROL!$C$22, $C$13, 100%, $E$13)</f>
        <v>7.6566000000000001</v>
      </c>
      <c r="K430" s="64">
        <f>7.6568 * CHOOSE(CONTROL!$C$22, $C$13, 100%, $E$13)</f>
        <v>7.6567999999999996</v>
      </c>
    </row>
    <row r="431" spans="1:11" ht="15">
      <c r="A431" s="13">
        <v>54758</v>
      </c>
      <c r="B431" s="63">
        <f>6.6056 * CHOOSE(CONTROL!$C$22, $C$13, 100%, $E$13)</f>
        <v>6.6055999999999999</v>
      </c>
      <c r="C431" s="63">
        <f>6.6056 * CHOOSE(CONTROL!$C$22, $C$13, 100%, $E$13)</f>
        <v>6.6055999999999999</v>
      </c>
      <c r="D431" s="63">
        <f>6.6255 * CHOOSE(CONTROL!$C$22, $C$13, 100%, $E$13)</f>
        <v>6.6254999999999997</v>
      </c>
      <c r="E431" s="64">
        <f>7.6132 * CHOOSE(CONTROL!$C$22, $C$13, 100%, $E$13)</f>
        <v>7.6132</v>
      </c>
      <c r="F431" s="64">
        <f>7.6132 * CHOOSE(CONTROL!$C$22, $C$13, 100%, $E$13)</f>
        <v>7.6132</v>
      </c>
      <c r="G431" s="64">
        <f>7.6134 * CHOOSE(CONTROL!$C$22, $C$13, 100%, $E$13)</f>
        <v>7.6134000000000004</v>
      </c>
      <c r="H431" s="64">
        <f>13.3689* CHOOSE(CONTROL!$C$22, $C$13, 100%, $E$13)</f>
        <v>13.3689</v>
      </c>
      <c r="I431" s="64">
        <f>13.3691 * CHOOSE(CONTROL!$C$22, $C$13, 100%, $E$13)</f>
        <v>13.3691</v>
      </c>
      <c r="J431" s="64">
        <f>7.6132 * CHOOSE(CONTROL!$C$22, $C$13, 100%, $E$13)</f>
        <v>7.6132</v>
      </c>
      <c r="K431" s="64">
        <f>7.6134 * CHOOSE(CONTROL!$C$22, $C$13, 100%, $E$13)</f>
        <v>7.6134000000000004</v>
      </c>
    </row>
    <row r="432" spans="1:11" ht="15">
      <c r="A432" s="13">
        <v>54789</v>
      </c>
      <c r="B432" s="63">
        <f>6.6648 * CHOOSE(CONTROL!$C$22, $C$13, 100%, $E$13)</f>
        <v>6.6647999999999996</v>
      </c>
      <c r="C432" s="63">
        <f>6.6648 * CHOOSE(CONTROL!$C$22, $C$13, 100%, $E$13)</f>
        <v>6.6647999999999996</v>
      </c>
      <c r="D432" s="63">
        <f>6.6848 * CHOOSE(CONTROL!$C$22, $C$13, 100%, $E$13)</f>
        <v>6.6848000000000001</v>
      </c>
      <c r="E432" s="64">
        <f>7.713 * CHOOSE(CONTROL!$C$22, $C$13, 100%, $E$13)</f>
        <v>7.7130000000000001</v>
      </c>
      <c r="F432" s="64">
        <f>7.713 * CHOOSE(CONTROL!$C$22, $C$13, 100%, $E$13)</f>
        <v>7.7130000000000001</v>
      </c>
      <c r="G432" s="64">
        <f>7.7132 * CHOOSE(CONTROL!$C$22, $C$13, 100%, $E$13)</f>
        <v>7.7131999999999996</v>
      </c>
      <c r="H432" s="64">
        <f>13.3968* CHOOSE(CONTROL!$C$22, $C$13, 100%, $E$13)</f>
        <v>13.396800000000001</v>
      </c>
      <c r="I432" s="64">
        <f>13.3969 * CHOOSE(CONTROL!$C$22, $C$13, 100%, $E$13)</f>
        <v>13.3969</v>
      </c>
      <c r="J432" s="64">
        <f>7.713 * CHOOSE(CONTROL!$C$22, $C$13, 100%, $E$13)</f>
        <v>7.7130000000000001</v>
      </c>
      <c r="K432" s="64">
        <f>7.7132 * CHOOSE(CONTROL!$C$22, $C$13, 100%, $E$13)</f>
        <v>7.7131999999999996</v>
      </c>
    </row>
    <row r="433" spans="1:11" ht="15">
      <c r="A433" s="13">
        <v>54820</v>
      </c>
      <c r="B433" s="63">
        <f>6.6618 * CHOOSE(CONTROL!$C$22, $C$13, 100%, $E$13)</f>
        <v>6.6618000000000004</v>
      </c>
      <c r="C433" s="63">
        <f>6.6618 * CHOOSE(CONTROL!$C$22, $C$13, 100%, $E$13)</f>
        <v>6.6618000000000004</v>
      </c>
      <c r="D433" s="63">
        <f>6.6818 * CHOOSE(CONTROL!$C$22, $C$13, 100%, $E$13)</f>
        <v>6.6818</v>
      </c>
      <c r="E433" s="64">
        <f>7.6267 * CHOOSE(CONTROL!$C$22, $C$13, 100%, $E$13)</f>
        <v>7.6266999999999996</v>
      </c>
      <c r="F433" s="64">
        <f>7.6267 * CHOOSE(CONTROL!$C$22, $C$13, 100%, $E$13)</f>
        <v>7.6266999999999996</v>
      </c>
      <c r="G433" s="64">
        <f>7.6268 * CHOOSE(CONTROL!$C$22, $C$13, 100%, $E$13)</f>
        <v>7.6268000000000002</v>
      </c>
      <c r="H433" s="64">
        <f>13.4247* CHOOSE(CONTROL!$C$22, $C$13, 100%, $E$13)</f>
        <v>13.4247</v>
      </c>
      <c r="I433" s="64">
        <f>13.4248 * CHOOSE(CONTROL!$C$22, $C$13, 100%, $E$13)</f>
        <v>13.424799999999999</v>
      </c>
      <c r="J433" s="64">
        <f>7.6267 * CHOOSE(CONTROL!$C$22, $C$13, 100%, $E$13)</f>
        <v>7.6266999999999996</v>
      </c>
      <c r="K433" s="64">
        <f>7.6268 * CHOOSE(CONTROL!$C$22, $C$13, 100%, $E$13)</f>
        <v>7.6268000000000002</v>
      </c>
    </row>
    <row r="434" spans="1:11" ht="15">
      <c r="A434" s="13">
        <v>54848</v>
      </c>
      <c r="B434" s="63">
        <f>6.6588 * CHOOSE(CONTROL!$C$22, $C$13, 100%, $E$13)</f>
        <v>6.6588000000000003</v>
      </c>
      <c r="C434" s="63">
        <f>6.6588 * CHOOSE(CONTROL!$C$22, $C$13, 100%, $E$13)</f>
        <v>6.6588000000000003</v>
      </c>
      <c r="D434" s="63">
        <f>6.6787 * CHOOSE(CONTROL!$C$22, $C$13, 100%, $E$13)</f>
        <v>6.6787000000000001</v>
      </c>
      <c r="E434" s="64">
        <f>7.691 * CHOOSE(CONTROL!$C$22, $C$13, 100%, $E$13)</f>
        <v>7.6909999999999998</v>
      </c>
      <c r="F434" s="64">
        <f>7.691 * CHOOSE(CONTROL!$C$22, $C$13, 100%, $E$13)</f>
        <v>7.6909999999999998</v>
      </c>
      <c r="G434" s="64">
        <f>7.6911 * CHOOSE(CONTROL!$C$22, $C$13, 100%, $E$13)</f>
        <v>7.6910999999999996</v>
      </c>
      <c r="H434" s="64">
        <f>13.4526* CHOOSE(CONTROL!$C$22, $C$13, 100%, $E$13)</f>
        <v>13.4526</v>
      </c>
      <c r="I434" s="64">
        <f>13.4528 * CHOOSE(CONTROL!$C$22, $C$13, 100%, $E$13)</f>
        <v>13.4528</v>
      </c>
      <c r="J434" s="64">
        <f>7.691 * CHOOSE(CONTROL!$C$22, $C$13, 100%, $E$13)</f>
        <v>7.6909999999999998</v>
      </c>
      <c r="K434" s="64">
        <f>7.6911 * CHOOSE(CONTROL!$C$22, $C$13, 100%, $E$13)</f>
        <v>7.6910999999999996</v>
      </c>
    </row>
    <row r="435" spans="1:11" ht="15">
      <c r="A435" s="13">
        <v>54879</v>
      </c>
      <c r="B435" s="63">
        <f>6.6588 * CHOOSE(CONTROL!$C$22, $C$13, 100%, $E$13)</f>
        <v>6.6588000000000003</v>
      </c>
      <c r="C435" s="63">
        <f>6.6588 * CHOOSE(CONTROL!$C$22, $C$13, 100%, $E$13)</f>
        <v>6.6588000000000003</v>
      </c>
      <c r="D435" s="63">
        <f>6.6788 * CHOOSE(CONTROL!$C$22, $C$13, 100%, $E$13)</f>
        <v>6.6787999999999998</v>
      </c>
      <c r="E435" s="64">
        <f>7.758 * CHOOSE(CONTROL!$C$22, $C$13, 100%, $E$13)</f>
        <v>7.758</v>
      </c>
      <c r="F435" s="64">
        <f>7.758 * CHOOSE(CONTROL!$C$22, $C$13, 100%, $E$13)</f>
        <v>7.758</v>
      </c>
      <c r="G435" s="64">
        <f>7.7582 * CHOOSE(CONTROL!$C$22, $C$13, 100%, $E$13)</f>
        <v>7.7582000000000004</v>
      </c>
      <c r="H435" s="64">
        <f>13.4807* CHOOSE(CONTROL!$C$22, $C$13, 100%, $E$13)</f>
        <v>13.480700000000001</v>
      </c>
      <c r="I435" s="64">
        <f>13.4808 * CHOOSE(CONTROL!$C$22, $C$13, 100%, $E$13)</f>
        <v>13.4808</v>
      </c>
      <c r="J435" s="64">
        <f>7.758 * CHOOSE(CONTROL!$C$22, $C$13, 100%, $E$13)</f>
        <v>7.758</v>
      </c>
      <c r="K435" s="64">
        <f>7.7582 * CHOOSE(CONTROL!$C$22, $C$13, 100%, $E$13)</f>
        <v>7.7582000000000004</v>
      </c>
    </row>
    <row r="436" spans="1:11" ht="15">
      <c r="A436" s="13">
        <v>54909</v>
      </c>
      <c r="B436" s="63">
        <f>6.6588 * CHOOSE(CONTROL!$C$22, $C$13, 100%, $E$13)</f>
        <v>6.6588000000000003</v>
      </c>
      <c r="C436" s="63">
        <f>6.6588 * CHOOSE(CONTROL!$C$22, $C$13, 100%, $E$13)</f>
        <v>6.6588000000000003</v>
      </c>
      <c r="D436" s="63">
        <f>6.6987 * CHOOSE(CONTROL!$C$22, $C$13, 100%, $E$13)</f>
        <v>6.6986999999999997</v>
      </c>
      <c r="E436" s="64">
        <f>7.7848 * CHOOSE(CONTROL!$C$22, $C$13, 100%, $E$13)</f>
        <v>7.7847999999999997</v>
      </c>
      <c r="F436" s="64">
        <f>7.7848 * CHOOSE(CONTROL!$C$22, $C$13, 100%, $E$13)</f>
        <v>7.7847999999999997</v>
      </c>
      <c r="G436" s="64">
        <f>7.7872 * CHOOSE(CONTROL!$C$22, $C$13, 100%, $E$13)</f>
        <v>7.7872000000000003</v>
      </c>
      <c r="H436" s="64">
        <f>13.5087* CHOOSE(CONTROL!$C$22, $C$13, 100%, $E$13)</f>
        <v>13.508699999999999</v>
      </c>
      <c r="I436" s="64">
        <f>13.5112 * CHOOSE(CONTROL!$C$22, $C$13, 100%, $E$13)</f>
        <v>13.511200000000001</v>
      </c>
      <c r="J436" s="64">
        <f>7.7848 * CHOOSE(CONTROL!$C$22, $C$13, 100%, $E$13)</f>
        <v>7.7847999999999997</v>
      </c>
      <c r="K436" s="64">
        <f>7.7872 * CHOOSE(CONTROL!$C$22, $C$13, 100%, $E$13)</f>
        <v>7.7872000000000003</v>
      </c>
    </row>
    <row r="437" spans="1:11" ht="15">
      <c r="A437" s="13">
        <v>54940</v>
      </c>
      <c r="B437" s="63">
        <f>6.6649 * CHOOSE(CONTROL!$C$22, $C$13, 100%, $E$13)</f>
        <v>6.6649000000000003</v>
      </c>
      <c r="C437" s="63">
        <f>6.6649 * CHOOSE(CONTROL!$C$22, $C$13, 100%, $E$13)</f>
        <v>6.6649000000000003</v>
      </c>
      <c r="D437" s="63">
        <f>6.7048 * CHOOSE(CONTROL!$C$22, $C$13, 100%, $E$13)</f>
        <v>6.7047999999999996</v>
      </c>
      <c r="E437" s="64">
        <f>7.7623 * CHOOSE(CONTROL!$C$22, $C$13, 100%, $E$13)</f>
        <v>7.7622999999999998</v>
      </c>
      <c r="F437" s="64">
        <f>7.7623 * CHOOSE(CONTROL!$C$22, $C$13, 100%, $E$13)</f>
        <v>7.7622999999999998</v>
      </c>
      <c r="G437" s="64">
        <f>7.7647 * CHOOSE(CONTROL!$C$22, $C$13, 100%, $E$13)</f>
        <v>7.7647000000000004</v>
      </c>
      <c r="H437" s="64">
        <f>13.5369* CHOOSE(CONTROL!$C$22, $C$13, 100%, $E$13)</f>
        <v>13.536899999999999</v>
      </c>
      <c r="I437" s="64">
        <f>13.5393 * CHOOSE(CONTROL!$C$22, $C$13, 100%, $E$13)</f>
        <v>13.539300000000001</v>
      </c>
      <c r="J437" s="64">
        <f>7.7623 * CHOOSE(CONTROL!$C$22, $C$13, 100%, $E$13)</f>
        <v>7.7622999999999998</v>
      </c>
      <c r="K437" s="64">
        <f>7.7647 * CHOOSE(CONTROL!$C$22, $C$13, 100%, $E$13)</f>
        <v>7.7647000000000004</v>
      </c>
    </row>
    <row r="438" spans="1:11" ht="15">
      <c r="A438" s="13">
        <v>54970</v>
      </c>
      <c r="B438" s="63">
        <f>6.7747 * CHOOSE(CONTROL!$C$22, $C$13, 100%, $E$13)</f>
        <v>6.7747000000000002</v>
      </c>
      <c r="C438" s="63">
        <f>6.7747 * CHOOSE(CONTROL!$C$22, $C$13, 100%, $E$13)</f>
        <v>6.7747000000000002</v>
      </c>
      <c r="D438" s="63">
        <f>6.8146 * CHOOSE(CONTROL!$C$22, $C$13, 100%, $E$13)</f>
        <v>6.8146000000000004</v>
      </c>
      <c r="E438" s="64">
        <f>7.9154 * CHOOSE(CONTROL!$C$22, $C$13, 100%, $E$13)</f>
        <v>7.9154</v>
      </c>
      <c r="F438" s="64">
        <f>7.9154 * CHOOSE(CONTROL!$C$22, $C$13, 100%, $E$13)</f>
        <v>7.9154</v>
      </c>
      <c r="G438" s="64">
        <f>7.9178 * CHOOSE(CONTROL!$C$22, $C$13, 100%, $E$13)</f>
        <v>7.9177999999999997</v>
      </c>
      <c r="H438" s="64">
        <f>13.5651* CHOOSE(CONTROL!$C$22, $C$13, 100%, $E$13)</f>
        <v>13.565099999999999</v>
      </c>
      <c r="I438" s="64">
        <f>13.5675 * CHOOSE(CONTROL!$C$22, $C$13, 100%, $E$13)</f>
        <v>13.567500000000001</v>
      </c>
      <c r="J438" s="64">
        <f>7.9154 * CHOOSE(CONTROL!$C$22, $C$13, 100%, $E$13)</f>
        <v>7.9154</v>
      </c>
      <c r="K438" s="64">
        <f>7.9178 * CHOOSE(CONTROL!$C$22, $C$13, 100%, $E$13)</f>
        <v>7.9177999999999997</v>
      </c>
    </row>
    <row r="439" spans="1:11" ht="15">
      <c r="A439" s="13">
        <v>55001</v>
      </c>
      <c r="B439" s="63">
        <f>6.7813 * CHOOSE(CONTROL!$C$22, $C$13, 100%, $E$13)</f>
        <v>6.7812999999999999</v>
      </c>
      <c r="C439" s="63">
        <f>6.7813 * CHOOSE(CONTROL!$C$22, $C$13, 100%, $E$13)</f>
        <v>6.7812999999999999</v>
      </c>
      <c r="D439" s="63">
        <f>6.8213 * CHOOSE(CONTROL!$C$22, $C$13, 100%, $E$13)</f>
        <v>6.8212999999999999</v>
      </c>
      <c r="E439" s="64">
        <f>7.8398 * CHOOSE(CONTROL!$C$22, $C$13, 100%, $E$13)</f>
        <v>7.8398000000000003</v>
      </c>
      <c r="F439" s="64">
        <f>7.8398 * CHOOSE(CONTROL!$C$22, $C$13, 100%, $E$13)</f>
        <v>7.8398000000000003</v>
      </c>
      <c r="G439" s="64">
        <f>7.8422 * CHOOSE(CONTROL!$C$22, $C$13, 100%, $E$13)</f>
        <v>7.8422000000000001</v>
      </c>
      <c r="H439" s="64">
        <f>13.5934* CHOOSE(CONTROL!$C$22, $C$13, 100%, $E$13)</f>
        <v>13.593400000000001</v>
      </c>
      <c r="I439" s="64">
        <f>13.5958 * CHOOSE(CONTROL!$C$22, $C$13, 100%, $E$13)</f>
        <v>13.595800000000001</v>
      </c>
      <c r="J439" s="64">
        <f>7.8398 * CHOOSE(CONTROL!$C$22, $C$13, 100%, $E$13)</f>
        <v>7.8398000000000003</v>
      </c>
      <c r="K439" s="64">
        <f>7.8422 * CHOOSE(CONTROL!$C$22, $C$13, 100%, $E$13)</f>
        <v>7.8422000000000001</v>
      </c>
    </row>
    <row r="440" spans="1:11" ht="15">
      <c r="A440" s="13">
        <v>55032</v>
      </c>
      <c r="B440" s="63">
        <f>6.7783 * CHOOSE(CONTROL!$C$22, $C$13, 100%, $E$13)</f>
        <v>6.7782999999999998</v>
      </c>
      <c r="C440" s="63">
        <f>6.7783 * CHOOSE(CONTROL!$C$22, $C$13, 100%, $E$13)</f>
        <v>6.7782999999999998</v>
      </c>
      <c r="D440" s="63">
        <f>6.8182 * CHOOSE(CONTROL!$C$22, $C$13, 100%, $E$13)</f>
        <v>6.8182</v>
      </c>
      <c r="E440" s="64">
        <f>7.8288 * CHOOSE(CONTROL!$C$22, $C$13, 100%, $E$13)</f>
        <v>7.8288000000000002</v>
      </c>
      <c r="F440" s="64">
        <f>7.8288 * CHOOSE(CONTROL!$C$22, $C$13, 100%, $E$13)</f>
        <v>7.8288000000000002</v>
      </c>
      <c r="G440" s="64">
        <f>7.8312 * CHOOSE(CONTROL!$C$22, $C$13, 100%, $E$13)</f>
        <v>7.8311999999999999</v>
      </c>
      <c r="H440" s="64">
        <f>13.6217* CHOOSE(CONTROL!$C$22, $C$13, 100%, $E$13)</f>
        <v>13.621700000000001</v>
      </c>
      <c r="I440" s="64">
        <f>13.6241 * CHOOSE(CONTROL!$C$22, $C$13, 100%, $E$13)</f>
        <v>13.6241</v>
      </c>
      <c r="J440" s="64">
        <f>7.8288 * CHOOSE(CONTROL!$C$22, $C$13, 100%, $E$13)</f>
        <v>7.8288000000000002</v>
      </c>
      <c r="K440" s="64">
        <f>7.8312 * CHOOSE(CONTROL!$C$22, $C$13, 100%, $E$13)</f>
        <v>7.8311999999999999</v>
      </c>
    </row>
    <row r="441" spans="1:11" ht="15">
      <c r="A441" s="13">
        <v>55062</v>
      </c>
      <c r="B441" s="63">
        <f>6.7829 * CHOOSE(CONTROL!$C$22, $C$13, 100%, $E$13)</f>
        <v>6.7828999999999997</v>
      </c>
      <c r="C441" s="63">
        <f>6.7829 * CHOOSE(CONTROL!$C$22, $C$13, 100%, $E$13)</f>
        <v>6.7828999999999997</v>
      </c>
      <c r="D441" s="63">
        <f>6.8028 * CHOOSE(CONTROL!$C$22, $C$13, 100%, $E$13)</f>
        <v>6.8028000000000004</v>
      </c>
      <c r="E441" s="64">
        <f>7.851 * CHOOSE(CONTROL!$C$22, $C$13, 100%, $E$13)</f>
        <v>7.851</v>
      </c>
      <c r="F441" s="64">
        <f>7.851 * CHOOSE(CONTROL!$C$22, $C$13, 100%, $E$13)</f>
        <v>7.851</v>
      </c>
      <c r="G441" s="64">
        <f>7.8512 * CHOOSE(CONTROL!$C$22, $C$13, 100%, $E$13)</f>
        <v>7.8512000000000004</v>
      </c>
      <c r="H441" s="64">
        <f>13.6501* CHOOSE(CONTROL!$C$22, $C$13, 100%, $E$13)</f>
        <v>13.6501</v>
      </c>
      <c r="I441" s="64">
        <f>13.6502 * CHOOSE(CONTROL!$C$22, $C$13, 100%, $E$13)</f>
        <v>13.6502</v>
      </c>
      <c r="J441" s="64">
        <f>7.851 * CHOOSE(CONTROL!$C$22, $C$13, 100%, $E$13)</f>
        <v>7.851</v>
      </c>
      <c r="K441" s="64">
        <f>7.8512 * CHOOSE(CONTROL!$C$22, $C$13, 100%, $E$13)</f>
        <v>7.8512000000000004</v>
      </c>
    </row>
    <row r="442" spans="1:11" ht="15">
      <c r="A442" s="13">
        <v>55093</v>
      </c>
      <c r="B442" s="63">
        <f>6.7859 * CHOOSE(CONTROL!$C$22, $C$13, 100%, $E$13)</f>
        <v>6.7858999999999998</v>
      </c>
      <c r="C442" s="63">
        <f>6.7859 * CHOOSE(CONTROL!$C$22, $C$13, 100%, $E$13)</f>
        <v>6.7858999999999998</v>
      </c>
      <c r="D442" s="63">
        <f>6.8059 * CHOOSE(CONTROL!$C$22, $C$13, 100%, $E$13)</f>
        <v>6.8059000000000003</v>
      </c>
      <c r="E442" s="64">
        <f>7.8709 * CHOOSE(CONTROL!$C$22, $C$13, 100%, $E$13)</f>
        <v>7.8708999999999998</v>
      </c>
      <c r="F442" s="64">
        <f>7.8709 * CHOOSE(CONTROL!$C$22, $C$13, 100%, $E$13)</f>
        <v>7.8708999999999998</v>
      </c>
      <c r="G442" s="64">
        <f>7.8711 * CHOOSE(CONTROL!$C$22, $C$13, 100%, $E$13)</f>
        <v>7.8711000000000002</v>
      </c>
      <c r="H442" s="64">
        <f>13.6785* CHOOSE(CONTROL!$C$22, $C$13, 100%, $E$13)</f>
        <v>13.6785</v>
      </c>
      <c r="I442" s="64">
        <f>13.6787 * CHOOSE(CONTROL!$C$22, $C$13, 100%, $E$13)</f>
        <v>13.678699999999999</v>
      </c>
      <c r="J442" s="64">
        <f>7.8709 * CHOOSE(CONTROL!$C$22, $C$13, 100%, $E$13)</f>
        <v>7.8708999999999998</v>
      </c>
      <c r="K442" s="64">
        <f>7.8711 * CHOOSE(CONTROL!$C$22, $C$13, 100%, $E$13)</f>
        <v>7.8711000000000002</v>
      </c>
    </row>
    <row r="443" spans="1:11" ht="15">
      <c r="A443" s="13">
        <v>55123</v>
      </c>
      <c r="B443" s="63">
        <f>6.7859 * CHOOSE(CONTROL!$C$22, $C$13, 100%, $E$13)</f>
        <v>6.7858999999999998</v>
      </c>
      <c r="C443" s="63">
        <f>6.7859 * CHOOSE(CONTROL!$C$22, $C$13, 100%, $E$13)</f>
        <v>6.7858999999999998</v>
      </c>
      <c r="D443" s="63">
        <f>6.8059 * CHOOSE(CONTROL!$C$22, $C$13, 100%, $E$13)</f>
        <v>6.8059000000000003</v>
      </c>
      <c r="E443" s="64">
        <f>7.8264 * CHOOSE(CONTROL!$C$22, $C$13, 100%, $E$13)</f>
        <v>7.8263999999999996</v>
      </c>
      <c r="F443" s="64">
        <f>7.8264 * CHOOSE(CONTROL!$C$22, $C$13, 100%, $E$13)</f>
        <v>7.8263999999999996</v>
      </c>
      <c r="G443" s="64">
        <f>7.8265 * CHOOSE(CONTROL!$C$22, $C$13, 100%, $E$13)</f>
        <v>7.8265000000000002</v>
      </c>
      <c r="H443" s="64">
        <f>13.707* CHOOSE(CONTROL!$C$22, $C$13, 100%, $E$13)</f>
        <v>13.707000000000001</v>
      </c>
      <c r="I443" s="64">
        <f>13.7072 * CHOOSE(CONTROL!$C$22, $C$13, 100%, $E$13)</f>
        <v>13.7072</v>
      </c>
      <c r="J443" s="64">
        <f>7.8264 * CHOOSE(CONTROL!$C$22, $C$13, 100%, $E$13)</f>
        <v>7.8263999999999996</v>
      </c>
      <c r="K443" s="64">
        <f>7.8265 * CHOOSE(CONTROL!$C$22, $C$13, 100%, $E$13)</f>
        <v>7.8265000000000002</v>
      </c>
    </row>
    <row r="444" spans="1:11" ht="15">
      <c r="A444" s="13">
        <v>55154</v>
      </c>
      <c r="B444" s="63">
        <f>6.8467 * CHOOSE(CONTROL!$C$22, $C$13, 100%, $E$13)</f>
        <v>6.8467000000000002</v>
      </c>
      <c r="C444" s="63">
        <f>6.8467 * CHOOSE(CONTROL!$C$22, $C$13, 100%, $E$13)</f>
        <v>6.8467000000000002</v>
      </c>
      <c r="D444" s="63">
        <f>6.8667 * CHOOSE(CONTROL!$C$22, $C$13, 100%, $E$13)</f>
        <v>6.8666999999999998</v>
      </c>
      <c r="E444" s="64">
        <f>7.9289 * CHOOSE(CONTROL!$C$22, $C$13, 100%, $E$13)</f>
        <v>7.9288999999999996</v>
      </c>
      <c r="F444" s="64">
        <f>7.9289 * CHOOSE(CONTROL!$C$22, $C$13, 100%, $E$13)</f>
        <v>7.9288999999999996</v>
      </c>
      <c r="G444" s="64">
        <f>7.929 * CHOOSE(CONTROL!$C$22, $C$13, 100%, $E$13)</f>
        <v>7.9290000000000003</v>
      </c>
      <c r="H444" s="64">
        <f>13.7355* CHOOSE(CONTROL!$C$22, $C$13, 100%, $E$13)</f>
        <v>13.7355</v>
      </c>
      <c r="I444" s="64">
        <f>13.7357 * CHOOSE(CONTROL!$C$22, $C$13, 100%, $E$13)</f>
        <v>13.7357</v>
      </c>
      <c r="J444" s="64">
        <f>7.9289 * CHOOSE(CONTROL!$C$22, $C$13, 100%, $E$13)</f>
        <v>7.9288999999999996</v>
      </c>
      <c r="K444" s="64">
        <f>7.929 * CHOOSE(CONTROL!$C$22, $C$13, 100%, $E$13)</f>
        <v>7.9290000000000003</v>
      </c>
    </row>
    <row r="445" spans="1:11" ht="15">
      <c r="A445" s="13">
        <v>55185</v>
      </c>
      <c r="B445" s="63">
        <f>6.8437 * CHOOSE(CONTROL!$C$22, $C$13, 100%, $E$13)</f>
        <v>6.8437000000000001</v>
      </c>
      <c r="C445" s="63">
        <f>6.8437 * CHOOSE(CONTROL!$C$22, $C$13, 100%, $E$13)</f>
        <v>6.8437000000000001</v>
      </c>
      <c r="D445" s="63">
        <f>6.8636 * CHOOSE(CONTROL!$C$22, $C$13, 100%, $E$13)</f>
        <v>6.8635999999999999</v>
      </c>
      <c r="E445" s="64">
        <f>7.8401 * CHOOSE(CONTROL!$C$22, $C$13, 100%, $E$13)</f>
        <v>7.8400999999999996</v>
      </c>
      <c r="F445" s="64">
        <f>7.8401 * CHOOSE(CONTROL!$C$22, $C$13, 100%, $E$13)</f>
        <v>7.8400999999999996</v>
      </c>
      <c r="G445" s="64">
        <f>7.8403 * CHOOSE(CONTROL!$C$22, $C$13, 100%, $E$13)</f>
        <v>7.8403</v>
      </c>
      <c r="H445" s="64">
        <f>13.7642* CHOOSE(CONTROL!$C$22, $C$13, 100%, $E$13)</f>
        <v>13.764200000000001</v>
      </c>
      <c r="I445" s="64">
        <f>13.7643 * CHOOSE(CONTROL!$C$22, $C$13, 100%, $E$13)</f>
        <v>13.7643</v>
      </c>
      <c r="J445" s="64">
        <f>7.8401 * CHOOSE(CONTROL!$C$22, $C$13, 100%, $E$13)</f>
        <v>7.8400999999999996</v>
      </c>
      <c r="K445" s="64">
        <f>7.8403 * CHOOSE(CONTROL!$C$22, $C$13, 100%, $E$13)</f>
        <v>7.8403</v>
      </c>
    </row>
    <row r="446" spans="1:11" ht="15">
      <c r="A446" s="13">
        <v>55213</v>
      </c>
      <c r="B446" s="63">
        <f>6.8406 * CHOOSE(CONTROL!$C$22, $C$13, 100%, $E$13)</f>
        <v>6.8406000000000002</v>
      </c>
      <c r="C446" s="63">
        <f>6.8406 * CHOOSE(CONTROL!$C$22, $C$13, 100%, $E$13)</f>
        <v>6.8406000000000002</v>
      </c>
      <c r="D446" s="63">
        <f>6.8606 * CHOOSE(CONTROL!$C$22, $C$13, 100%, $E$13)</f>
        <v>6.8605999999999998</v>
      </c>
      <c r="E446" s="64">
        <f>7.9063 * CHOOSE(CONTROL!$C$22, $C$13, 100%, $E$13)</f>
        <v>7.9062999999999999</v>
      </c>
      <c r="F446" s="64">
        <f>7.9063 * CHOOSE(CONTROL!$C$22, $C$13, 100%, $E$13)</f>
        <v>7.9062999999999999</v>
      </c>
      <c r="G446" s="64">
        <f>7.9065 * CHOOSE(CONTROL!$C$22, $C$13, 100%, $E$13)</f>
        <v>7.9065000000000003</v>
      </c>
      <c r="H446" s="64">
        <f>13.7928* CHOOSE(CONTROL!$C$22, $C$13, 100%, $E$13)</f>
        <v>13.7928</v>
      </c>
      <c r="I446" s="64">
        <f>13.793 * CHOOSE(CONTROL!$C$22, $C$13, 100%, $E$13)</f>
        <v>13.792999999999999</v>
      </c>
      <c r="J446" s="64">
        <f>7.9063 * CHOOSE(CONTROL!$C$22, $C$13, 100%, $E$13)</f>
        <v>7.9062999999999999</v>
      </c>
      <c r="K446" s="64">
        <f>7.9065 * CHOOSE(CONTROL!$C$22, $C$13, 100%, $E$13)</f>
        <v>7.9065000000000003</v>
      </c>
    </row>
    <row r="447" spans="1:11" ht="15">
      <c r="A447" s="13">
        <v>55244</v>
      </c>
      <c r="B447" s="63">
        <f>6.8408 * CHOOSE(CONTROL!$C$22, $C$13, 100%, $E$13)</f>
        <v>6.8407999999999998</v>
      </c>
      <c r="C447" s="63">
        <f>6.8408 * CHOOSE(CONTROL!$C$22, $C$13, 100%, $E$13)</f>
        <v>6.8407999999999998</v>
      </c>
      <c r="D447" s="63">
        <f>6.8608 * CHOOSE(CONTROL!$C$22, $C$13, 100%, $E$13)</f>
        <v>6.8608000000000002</v>
      </c>
      <c r="E447" s="64">
        <f>7.9754 * CHOOSE(CONTROL!$C$22, $C$13, 100%, $E$13)</f>
        <v>7.9753999999999996</v>
      </c>
      <c r="F447" s="64">
        <f>7.9754 * CHOOSE(CONTROL!$C$22, $C$13, 100%, $E$13)</f>
        <v>7.9753999999999996</v>
      </c>
      <c r="G447" s="64">
        <f>7.9756 * CHOOSE(CONTROL!$C$22, $C$13, 100%, $E$13)</f>
        <v>7.9756</v>
      </c>
      <c r="H447" s="64">
        <f>13.8216* CHOOSE(CONTROL!$C$22, $C$13, 100%, $E$13)</f>
        <v>13.8216</v>
      </c>
      <c r="I447" s="64">
        <f>13.8217 * CHOOSE(CONTROL!$C$22, $C$13, 100%, $E$13)</f>
        <v>13.8217</v>
      </c>
      <c r="J447" s="64">
        <f>7.9754 * CHOOSE(CONTROL!$C$22, $C$13, 100%, $E$13)</f>
        <v>7.9753999999999996</v>
      </c>
      <c r="K447" s="64">
        <f>7.9756 * CHOOSE(CONTROL!$C$22, $C$13, 100%, $E$13)</f>
        <v>7.9756</v>
      </c>
    </row>
    <row r="448" spans="1:11" ht="15">
      <c r="A448" s="13">
        <v>55274</v>
      </c>
      <c r="B448" s="63">
        <f>6.8408 * CHOOSE(CONTROL!$C$22, $C$13, 100%, $E$13)</f>
        <v>6.8407999999999998</v>
      </c>
      <c r="C448" s="63">
        <f>6.8408 * CHOOSE(CONTROL!$C$22, $C$13, 100%, $E$13)</f>
        <v>6.8407999999999998</v>
      </c>
      <c r="D448" s="63">
        <f>6.8807 * CHOOSE(CONTROL!$C$22, $C$13, 100%, $E$13)</f>
        <v>6.8807</v>
      </c>
      <c r="E448" s="64">
        <f>8.0029 * CHOOSE(CONTROL!$C$22, $C$13, 100%, $E$13)</f>
        <v>8.0029000000000003</v>
      </c>
      <c r="F448" s="64">
        <f>8.0029 * CHOOSE(CONTROL!$C$22, $C$13, 100%, $E$13)</f>
        <v>8.0029000000000003</v>
      </c>
      <c r="G448" s="64">
        <f>8.0053 * CHOOSE(CONTROL!$C$22, $C$13, 100%, $E$13)</f>
        <v>8.0053000000000001</v>
      </c>
      <c r="H448" s="64">
        <f>13.8504* CHOOSE(CONTROL!$C$22, $C$13, 100%, $E$13)</f>
        <v>13.8504</v>
      </c>
      <c r="I448" s="64">
        <f>13.8528 * CHOOSE(CONTROL!$C$22, $C$13, 100%, $E$13)</f>
        <v>13.8528</v>
      </c>
      <c r="J448" s="64">
        <f>8.0029 * CHOOSE(CONTROL!$C$22, $C$13, 100%, $E$13)</f>
        <v>8.0029000000000003</v>
      </c>
      <c r="K448" s="64">
        <f>8.0053 * CHOOSE(CONTROL!$C$22, $C$13, 100%, $E$13)</f>
        <v>8.0053000000000001</v>
      </c>
    </row>
    <row r="449" spans="1:11" ht="15">
      <c r="A449" s="13">
        <v>55305</v>
      </c>
      <c r="B449" s="63">
        <f>6.8469 * CHOOSE(CONTROL!$C$22, $C$13, 100%, $E$13)</f>
        <v>6.8468999999999998</v>
      </c>
      <c r="C449" s="63">
        <f>6.8469 * CHOOSE(CONTROL!$C$22, $C$13, 100%, $E$13)</f>
        <v>6.8468999999999998</v>
      </c>
      <c r="D449" s="63">
        <f>6.8868 * CHOOSE(CONTROL!$C$22, $C$13, 100%, $E$13)</f>
        <v>6.8868</v>
      </c>
      <c r="E449" s="64">
        <f>7.9796 * CHOOSE(CONTROL!$C$22, $C$13, 100%, $E$13)</f>
        <v>7.9795999999999996</v>
      </c>
      <c r="F449" s="64">
        <f>7.9796 * CHOOSE(CONTROL!$C$22, $C$13, 100%, $E$13)</f>
        <v>7.9795999999999996</v>
      </c>
      <c r="G449" s="64">
        <f>7.9821 * CHOOSE(CONTROL!$C$22, $C$13, 100%, $E$13)</f>
        <v>7.9821</v>
      </c>
      <c r="H449" s="64">
        <f>13.8792* CHOOSE(CONTROL!$C$22, $C$13, 100%, $E$13)</f>
        <v>13.879200000000001</v>
      </c>
      <c r="I449" s="64">
        <f>13.8817 * CHOOSE(CONTROL!$C$22, $C$13, 100%, $E$13)</f>
        <v>13.8817</v>
      </c>
      <c r="J449" s="64">
        <f>7.9796 * CHOOSE(CONTROL!$C$22, $C$13, 100%, $E$13)</f>
        <v>7.9795999999999996</v>
      </c>
      <c r="K449" s="64">
        <f>7.9821 * CHOOSE(CONTROL!$C$22, $C$13, 100%, $E$13)</f>
        <v>7.9821</v>
      </c>
    </row>
    <row r="450" spans="1:11" ht="15">
      <c r="A450" s="13">
        <v>55335</v>
      </c>
      <c r="B450" s="63">
        <f>6.9594 * CHOOSE(CONTROL!$C$22, $C$13, 100%, $E$13)</f>
        <v>6.9593999999999996</v>
      </c>
      <c r="C450" s="63">
        <f>6.9594 * CHOOSE(CONTROL!$C$22, $C$13, 100%, $E$13)</f>
        <v>6.9593999999999996</v>
      </c>
      <c r="D450" s="63">
        <f>6.9993 * CHOOSE(CONTROL!$C$22, $C$13, 100%, $E$13)</f>
        <v>6.9992999999999999</v>
      </c>
      <c r="E450" s="64">
        <f>8.1367 * CHOOSE(CONTROL!$C$22, $C$13, 100%, $E$13)</f>
        <v>8.1366999999999994</v>
      </c>
      <c r="F450" s="64">
        <f>8.1367 * CHOOSE(CONTROL!$C$22, $C$13, 100%, $E$13)</f>
        <v>8.1366999999999994</v>
      </c>
      <c r="G450" s="64">
        <f>8.1392 * CHOOSE(CONTROL!$C$22, $C$13, 100%, $E$13)</f>
        <v>8.1392000000000007</v>
      </c>
      <c r="H450" s="64">
        <f>13.9081* CHOOSE(CONTROL!$C$22, $C$13, 100%, $E$13)</f>
        <v>13.908099999999999</v>
      </c>
      <c r="I450" s="64">
        <f>13.9106 * CHOOSE(CONTROL!$C$22, $C$13, 100%, $E$13)</f>
        <v>13.910600000000001</v>
      </c>
      <c r="J450" s="64">
        <f>8.1367 * CHOOSE(CONTROL!$C$22, $C$13, 100%, $E$13)</f>
        <v>8.1366999999999994</v>
      </c>
      <c r="K450" s="64">
        <f>8.1392 * CHOOSE(CONTROL!$C$22, $C$13, 100%, $E$13)</f>
        <v>8.1392000000000007</v>
      </c>
    </row>
    <row r="451" spans="1:11" ht="15">
      <c r="A451" s="13">
        <v>55366</v>
      </c>
      <c r="B451" s="63">
        <f>6.9661 * CHOOSE(CONTROL!$C$22, $C$13, 100%, $E$13)</f>
        <v>6.9661</v>
      </c>
      <c r="C451" s="63">
        <f>6.9661 * CHOOSE(CONTROL!$C$22, $C$13, 100%, $E$13)</f>
        <v>6.9661</v>
      </c>
      <c r="D451" s="63">
        <f>7.006 * CHOOSE(CONTROL!$C$22, $C$13, 100%, $E$13)</f>
        <v>7.0060000000000002</v>
      </c>
      <c r="E451" s="64">
        <f>8.0589 * CHOOSE(CONTROL!$C$22, $C$13, 100%, $E$13)</f>
        <v>8.0588999999999995</v>
      </c>
      <c r="F451" s="64">
        <f>8.0589 * CHOOSE(CONTROL!$C$22, $C$13, 100%, $E$13)</f>
        <v>8.0588999999999995</v>
      </c>
      <c r="G451" s="64">
        <f>8.0613 * CHOOSE(CONTROL!$C$22, $C$13, 100%, $E$13)</f>
        <v>8.0612999999999992</v>
      </c>
      <c r="H451" s="64">
        <f>13.9371* CHOOSE(CONTROL!$C$22, $C$13, 100%, $E$13)</f>
        <v>13.937099999999999</v>
      </c>
      <c r="I451" s="64">
        <f>13.9396 * CHOOSE(CONTROL!$C$22, $C$13, 100%, $E$13)</f>
        <v>13.9396</v>
      </c>
      <c r="J451" s="64">
        <f>8.0589 * CHOOSE(CONTROL!$C$22, $C$13, 100%, $E$13)</f>
        <v>8.0588999999999995</v>
      </c>
      <c r="K451" s="64">
        <f>8.0613 * CHOOSE(CONTROL!$C$22, $C$13, 100%, $E$13)</f>
        <v>8.0612999999999992</v>
      </c>
    </row>
    <row r="452" spans="1:11" ht="15">
      <c r="A452" s="13">
        <v>55397</v>
      </c>
      <c r="B452" s="63">
        <f>6.963 * CHOOSE(CONTROL!$C$22, $C$13, 100%, $E$13)</f>
        <v>6.9630000000000001</v>
      </c>
      <c r="C452" s="63">
        <f>6.963 * CHOOSE(CONTROL!$C$22, $C$13, 100%, $E$13)</f>
        <v>6.9630000000000001</v>
      </c>
      <c r="D452" s="63">
        <f>7.0029 * CHOOSE(CONTROL!$C$22, $C$13, 100%, $E$13)</f>
        <v>7.0029000000000003</v>
      </c>
      <c r="E452" s="64">
        <f>8.0476 * CHOOSE(CONTROL!$C$22, $C$13, 100%, $E$13)</f>
        <v>8.0475999999999992</v>
      </c>
      <c r="F452" s="64">
        <f>8.0476 * CHOOSE(CONTROL!$C$22, $C$13, 100%, $E$13)</f>
        <v>8.0475999999999992</v>
      </c>
      <c r="G452" s="64">
        <f>8.05 * CHOOSE(CONTROL!$C$22, $C$13, 100%, $E$13)</f>
        <v>8.0500000000000007</v>
      </c>
      <c r="H452" s="64">
        <f>13.9661* CHOOSE(CONTROL!$C$22, $C$13, 100%, $E$13)</f>
        <v>13.966100000000001</v>
      </c>
      <c r="I452" s="64">
        <f>13.9686 * CHOOSE(CONTROL!$C$22, $C$13, 100%, $E$13)</f>
        <v>13.9686</v>
      </c>
      <c r="J452" s="64">
        <f>8.0476 * CHOOSE(CONTROL!$C$22, $C$13, 100%, $E$13)</f>
        <v>8.0475999999999992</v>
      </c>
      <c r="K452" s="64">
        <f>8.05 * CHOOSE(CONTROL!$C$22, $C$13, 100%, $E$13)</f>
        <v>8.0500000000000007</v>
      </c>
    </row>
    <row r="453" spans="1:11" ht="15">
      <c r="A453" s="13">
        <v>55427</v>
      </c>
      <c r="B453" s="63">
        <f>6.9682 * CHOOSE(CONTROL!$C$22, $C$13, 100%, $E$13)</f>
        <v>6.9682000000000004</v>
      </c>
      <c r="C453" s="63">
        <f>6.9682 * CHOOSE(CONTROL!$C$22, $C$13, 100%, $E$13)</f>
        <v>6.9682000000000004</v>
      </c>
      <c r="D453" s="63">
        <f>6.9881 * CHOOSE(CONTROL!$C$22, $C$13, 100%, $E$13)</f>
        <v>6.9881000000000002</v>
      </c>
      <c r="E453" s="64">
        <f>8.0709 * CHOOSE(CONTROL!$C$22, $C$13, 100%, $E$13)</f>
        <v>8.0709</v>
      </c>
      <c r="F453" s="64">
        <f>8.0709 * CHOOSE(CONTROL!$C$22, $C$13, 100%, $E$13)</f>
        <v>8.0709</v>
      </c>
      <c r="G453" s="64">
        <f>8.071 * CHOOSE(CONTROL!$C$22, $C$13, 100%, $E$13)</f>
        <v>8.0709999999999997</v>
      </c>
      <c r="H453" s="64">
        <f>13.9952* CHOOSE(CONTROL!$C$22, $C$13, 100%, $E$13)</f>
        <v>13.995200000000001</v>
      </c>
      <c r="I453" s="64">
        <f>13.9954 * CHOOSE(CONTROL!$C$22, $C$13, 100%, $E$13)</f>
        <v>13.9954</v>
      </c>
      <c r="J453" s="64">
        <f>8.0709 * CHOOSE(CONTROL!$C$22, $C$13, 100%, $E$13)</f>
        <v>8.0709</v>
      </c>
      <c r="K453" s="64">
        <f>8.071 * CHOOSE(CONTROL!$C$22, $C$13, 100%, $E$13)</f>
        <v>8.0709999999999997</v>
      </c>
    </row>
    <row r="454" spans="1:11" ht="15">
      <c r="A454" s="13">
        <v>55458</v>
      </c>
      <c r="B454" s="63">
        <f>6.9712 * CHOOSE(CONTROL!$C$22, $C$13, 100%, $E$13)</f>
        <v>6.9711999999999996</v>
      </c>
      <c r="C454" s="63">
        <f>6.9712 * CHOOSE(CONTROL!$C$22, $C$13, 100%, $E$13)</f>
        <v>6.9711999999999996</v>
      </c>
      <c r="D454" s="63">
        <f>6.9912 * CHOOSE(CONTROL!$C$22, $C$13, 100%, $E$13)</f>
        <v>6.9912000000000001</v>
      </c>
      <c r="E454" s="64">
        <f>8.0913 * CHOOSE(CONTROL!$C$22, $C$13, 100%, $E$13)</f>
        <v>8.0913000000000004</v>
      </c>
      <c r="F454" s="64">
        <f>8.0913 * CHOOSE(CONTROL!$C$22, $C$13, 100%, $E$13)</f>
        <v>8.0913000000000004</v>
      </c>
      <c r="G454" s="64">
        <f>8.0915 * CHOOSE(CONTROL!$C$22, $C$13, 100%, $E$13)</f>
        <v>8.0914999999999999</v>
      </c>
      <c r="H454" s="64">
        <f>14.0244* CHOOSE(CONTROL!$C$22, $C$13, 100%, $E$13)</f>
        <v>14.0244</v>
      </c>
      <c r="I454" s="64">
        <f>14.0246 * CHOOSE(CONTROL!$C$22, $C$13, 100%, $E$13)</f>
        <v>14.0246</v>
      </c>
      <c r="J454" s="64">
        <f>8.0913 * CHOOSE(CONTROL!$C$22, $C$13, 100%, $E$13)</f>
        <v>8.0913000000000004</v>
      </c>
      <c r="K454" s="64">
        <f>8.0915 * CHOOSE(CONTROL!$C$22, $C$13, 100%, $E$13)</f>
        <v>8.0914999999999999</v>
      </c>
    </row>
    <row r="455" spans="1:11" ht="15">
      <c r="A455" s="13">
        <v>55488</v>
      </c>
      <c r="B455" s="63">
        <f>6.9712 * CHOOSE(CONTROL!$C$22, $C$13, 100%, $E$13)</f>
        <v>6.9711999999999996</v>
      </c>
      <c r="C455" s="63">
        <f>6.9712 * CHOOSE(CONTROL!$C$22, $C$13, 100%, $E$13)</f>
        <v>6.9711999999999996</v>
      </c>
      <c r="D455" s="63">
        <f>6.9912 * CHOOSE(CONTROL!$C$22, $C$13, 100%, $E$13)</f>
        <v>6.9912000000000001</v>
      </c>
      <c r="E455" s="64">
        <f>8.0455 * CHOOSE(CONTROL!$C$22, $C$13, 100%, $E$13)</f>
        <v>8.0455000000000005</v>
      </c>
      <c r="F455" s="64">
        <f>8.0455 * CHOOSE(CONTROL!$C$22, $C$13, 100%, $E$13)</f>
        <v>8.0455000000000005</v>
      </c>
      <c r="G455" s="64">
        <f>8.0456 * CHOOSE(CONTROL!$C$22, $C$13, 100%, $E$13)</f>
        <v>8.0456000000000003</v>
      </c>
      <c r="H455" s="64">
        <f>14.0536* CHOOSE(CONTROL!$C$22, $C$13, 100%, $E$13)</f>
        <v>14.053599999999999</v>
      </c>
      <c r="I455" s="64">
        <f>14.0538 * CHOOSE(CONTROL!$C$22, $C$13, 100%, $E$13)</f>
        <v>14.053800000000001</v>
      </c>
      <c r="J455" s="64">
        <f>8.0455 * CHOOSE(CONTROL!$C$22, $C$13, 100%, $E$13)</f>
        <v>8.0455000000000005</v>
      </c>
      <c r="K455" s="64">
        <f>8.0456 * CHOOSE(CONTROL!$C$22, $C$13, 100%, $E$13)</f>
        <v>8.0456000000000003</v>
      </c>
    </row>
    <row r="456" spans="1:11" ht="15">
      <c r="A456" s="13">
        <v>55519</v>
      </c>
      <c r="B456" s="63">
        <f>7.0336 * CHOOSE(CONTROL!$C$22, $C$13, 100%, $E$13)</f>
        <v>7.0335999999999999</v>
      </c>
      <c r="C456" s="63">
        <f>7.0336 * CHOOSE(CONTROL!$C$22, $C$13, 100%, $E$13)</f>
        <v>7.0335999999999999</v>
      </c>
      <c r="D456" s="63">
        <f>7.0535 * CHOOSE(CONTROL!$C$22, $C$13, 100%, $E$13)</f>
        <v>7.0534999999999997</v>
      </c>
      <c r="E456" s="64">
        <f>8.1507 * CHOOSE(CONTROL!$C$22, $C$13, 100%, $E$13)</f>
        <v>8.1507000000000005</v>
      </c>
      <c r="F456" s="64">
        <f>8.1507 * CHOOSE(CONTROL!$C$22, $C$13, 100%, $E$13)</f>
        <v>8.1507000000000005</v>
      </c>
      <c r="G456" s="64">
        <f>8.1509 * CHOOSE(CONTROL!$C$22, $C$13, 100%, $E$13)</f>
        <v>8.1509</v>
      </c>
      <c r="H456" s="64">
        <f>14.0829* CHOOSE(CONTROL!$C$22, $C$13, 100%, $E$13)</f>
        <v>14.0829</v>
      </c>
      <c r="I456" s="64">
        <f>14.0831 * CHOOSE(CONTROL!$C$22, $C$13, 100%, $E$13)</f>
        <v>14.0831</v>
      </c>
      <c r="J456" s="64">
        <f>8.1507 * CHOOSE(CONTROL!$C$22, $C$13, 100%, $E$13)</f>
        <v>8.1507000000000005</v>
      </c>
      <c r="K456" s="64">
        <f>8.1509 * CHOOSE(CONTROL!$C$22, $C$13, 100%, $E$13)</f>
        <v>8.1509</v>
      </c>
    </row>
    <row r="457" spans="1:11" ht="15">
      <c r="A457" s="13">
        <v>55550</v>
      </c>
      <c r="B457" s="63">
        <f>7.0305 * CHOOSE(CONTROL!$C$22, $C$13, 100%, $E$13)</f>
        <v>7.0305</v>
      </c>
      <c r="C457" s="63">
        <f>7.0305 * CHOOSE(CONTROL!$C$22, $C$13, 100%, $E$13)</f>
        <v>7.0305</v>
      </c>
      <c r="D457" s="63">
        <f>7.0505 * CHOOSE(CONTROL!$C$22, $C$13, 100%, $E$13)</f>
        <v>7.0505000000000004</v>
      </c>
      <c r="E457" s="64">
        <f>8.0596 * CHOOSE(CONTROL!$C$22, $C$13, 100%, $E$13)</f>
        <v>8.0595999999999997</v>
      </c>
      <c r="F457" s="64">
        <f>8.0596 * CHOOSE(CONTROL!$C$22, $C$13, 100%, $E$13)</f>
        <v>8.0595999999999997</v>
      </c>
      <c r="G457" s="64">
        <f>8.0598 * CHOOSE(CONTROL!$C$22, $C$13, 100%, $E$13)</f>
        <v>8.0597999999999992</v>
      </c>
      <c r="H457" s="64">
        <f>14.1122* CHOOSE(CONTROL!$C$22, $C$13, 100%, $E$13)</f>
        <v>14.1122</v>
      </c>
      <c r="I457" s="64">
        <f>14.1124 * CHOOSE(CONTROL!$C$22, $C$13, 100%, $E$13)</f>
        <v>14.112399999999999</v>
      </c>
      <c r="J457" s="64">
        <f>8.0596 * CHOOSE(CONTROL!$C$22, $C$13, 100%, $E$13)</f>
        <v>8.0595999999999997</v>
      </c>
      <c r="K457" s="64">
        <f>8.0598 * CHOOSE(CONTROL!$C$22, $C$13, 100%, $E$13)</f>
        <v>8.0597999999999992</v>
      </c>
    </row>
    <row r="458" spans="1:11" ht="15">
      <c r="A458" s="13">
        <v>55579</v>
      </c>
      <c r="B458" s="63">
        <f>7.0275 * CHOOSE(CONTROL!$C$22, $C$13, 100%, $E$13)</f>
        <v>7.0274999999999999</v>
      </c>
      <c r="C458" s="63">
        <f>7.0275 * CHOOSE(CONTROL!$C$22, $C$13, 100%, $E$13)</f>
        <v>7.0274999999999999</v>
      </c>
      <c r="D458" s="63">
        <f>7.0474 * CHOOSE(CONTROL!$C$22, $C$13, 100%, $E$13)</f>
        <v>7.0473999999999997</v>
      </c>
      <c r="E458" s="64">
        <f>8.1277 * CHOOSE(CONTROL!$C$22, $C$13, 100%, $E$13)</f>
        <v>8.1277000000000008</v>
      </c>
      <c r="F458" s="64">
        <f>8.1277 * CHOOSE(CONTROL!$C$22, $C$13, 100%, $E$13)</f>
        <v>8.1277000000000008</v>
      </c>
      <c r="G458" s="64">
        <f>8.1278 * CHOOSE(CONTROL!$C$22, $C$13, 100%, $E$13)</f>
        <v>8.1278000000000006</v>
      </c>
      <c r="H458" s="64">
        <f>14.1416* CHOOSE(CONTROL!$C$22, $C$13, 100%, $E$13)</f>
        <v>14.1416</v>
      </c>
      <c r="I458" s="64">
        <f>14.1418 * CHOOSE(CONTROL!$C$22, $C$13, 100%, $E$13)</f>
        <v>14.1418</v>
      </c>
      <c r="J458" s="64">
        <f>8.1277 * CHOOSE(CONTROL!$C$22, $C$13, 100%, $E$13)</f>
        <v>8.1277000000000008</v>
      </c>
      <c r="K458" s="64">
        <f>8.1278 * CHOOSE(CONTROL!$C$22, $C$13, 100%, $E$13)</f>
        <v>8.1278000000000006</v>
      </c>
    </row>
    <row r="459" spans="1:11" ht="15">
      <c r="A459" s="13">
        <v>55610</v>
      </c>
      <c r="B459" s="63">
        <f>7.0278 * CHOOSE(CONTROL!$C$22, $C$13, 100%, $E$13)</f>
        <v>7.0278</v>
      </c>
      <c r="C459" s="63">
        <f>7.0278 * CHOOSE(CONTROL!$C$22, $C$13, 100%, $E$13)</f>
        <v>7.0278</v>
      </c>
      <c r="D459" s="63">
        <f>7.0478 * CHOOSE(CONTROL!$C$22, $C$13, 100%, $E$13)</f>
        <v>7.0477999999999996</v>
      </c>
      <c r="E459" s="64">
        <f>8.1988 * CHOOSE(CONTROL!$C$22, $C$13, 100%, $E$13)</f>
        <v>8.1988000000000003</v>
      </c>
      <c r="F459" s="64">
        <f>8.1988 * CHOOSE(CONTROL!$C$22, $C$13, 100%, $E$13)</f>
        <v>8.1988000000000003</v>
      </c>
      <c r="G459" s="64">
        <f>8.199 * CHOOSE(CONTROL!$C$22, $C$13, 100%, $E$13)</f>
        <v>8.1989999999999998</v>
      </c>
      <c r="H459" s="64">
        <f>14.1711* CHOOSE(CONTROL!$C$22, $C$13, 100%, $E$13)</f>
        <v>14.171099999999999</v>
      </c>
      <c r="I459" s="64">
        <f>14.1713 * CHOOSE(CONTROL!$C$22, $C$13, 100%, $E$13)</f>
        <v>14.1713</v>
      </c>
      <c r="J459" s="64">
        <f>8.1988 * CHOOSE(CONTROL!$C$22, $C$13, 100%, $E$13)</f>
        <v>8.1988000000000003</v>
      </c>
      <c r="K459" s="64">
        <f>8.199 * CHOOSE(CONTROL!$C$22, $C$13, 100%, $E$13)</f>
        <v>8.1989999999999998</v>
      </c>
    </row>
    <row r="460" spans="1:11" ht="15">
      <c r="A460" s="13">
        <v>55640</v>
      </c>
      <c r="B460" s="63">
        <f>7.0278 * CHOOSE(CONTROL!$C$22, $C$13, 100%, $E$13)</f>
        <v>7.0278</v>
      </c>
      <c r="C460" s="63">
        <f>7.0278 * CHOOSE(CONTROL!$C$22, $C$13, 100%, $E$13)</f>
        <v>7.0278</v>
      </c>
      <c r="D460" s="63">
        <f>7.0677 * CHOOSE(CONTROL!$C$22, $C$13, 100%, $E$13)</f>
        <v>7.0677000000000003</v>
      </c>
      <c r="E460" s="64">
        <f>8.2271 * CHOOSE(CONTROL!$C$22, $C$13, 100%, $E$13)</f>
        <v>8.2271000000000001</v>
      </c>
      <c r="F460" s="64">
        <f>8.2271 * CHOOSE(CONTROL!$C$22, $C$13, 100%, $E$13)</f>
        <v>8.2271000000000001</v>
      </c>
      <c r="G460" s="64">
        <f>8.2295 * CHOOSE(CONTROL!$C$22, $C$13, 100%, $E$13)</f>
        <v>8.2294999999999998</v>
      </c>
      <c r="H460" s="64">
        <f>14.2006* CHOOSE(CONTROL!$C$22, $C$13, 100%, $E$13)</f>
        <v>14.2006</v>
      </c>
      <c r="I460" s="64">
        <f>14.2031 * CHOOSE(CONTROL!$C$22, $C$13, 100%, $E$13)</f>
        <v>14.203099999999999</v>
      </c>
      <c r="J460" s="64">
        <f>8.2271 * CHOOSE(CONTROL!$C$22, $C$13, 100%, $E$13)</f>
        <v>8.2271000000000001</v>
      </c>
      <c r="K460" s="64">
        <f>8.2295 * CHOOSE(CONTROL!$C$22, $C$13, 100%, $E$13)</f>
        <v>8.2294999999999998</v>
      </c>
    </row>
    <row r="461" spans="1:11" ht="15">
      <c r="A461" s="13">
        <v>55671</v>
      </c>
      <c r="B461" s="63">
        <f>7.0339 * CHOOSE(CONTROL!$C$22, $C$13, 100%, $E$13)</f>
        <v>7.0339</v>
      </c>
      <c r="C461" s="63">
        <f>7.0339 * CHOOSE(CONTROL!$C$22, $C$13, 100%, $E$13)</f>
        <v>7.0339</v>
      </c>
      <c r="D461" s="63">
        <f>7.0738 * CHOOSE(CONTROL!$C$22, $C$13, 100%, $E$13)</f>
        <v>7.0738000000000003</v>
      </c>
      <c r="E461" s="64">
        <f>8.203 * CHOOSE(CONTROL!$C$22, $C$13, 100%, $E$13)</f>
        <v>8.2029999999999994</v>
      </c>
      <c r="F461" s="64">
        <f>8.203 * CHOOSE(CONTROL!$C$22, $C$13, 100%, $E$13)</f>
        <v>8.2029999999999994</v>
      </c>
      <c r="G461" s="64">
        <f>8.2055 * CHOOSE(CONTROL!$C$22, $C$13, 100%, $E$13)</f>
        <v>8.2055000000000007</v>
      </c>
      <c r="H461" s="64">
        <f>14.2302* CHOOSE(CONTROL!$C$22, $C$13, 100%, $E$13)</f>
        <v>14.2302</v>
      </c>
      <c r="I461" s="64">
        <f>14.2326 * CHOOSE(CONTROL!$C$22, $C$13, 100%, $E$13)</f>
        <v>14.2326</v>
      </c>
      <c r="J461" s="64">
        <f>8.203 * CHOOSE(CONTROL!$C$22, $C$13, 100%, $E$13)</f>
        <v>8.2029999999999994</v>
      </c>
      <c r="K461" s="64">
        <f>8.2055 * CHOOSE(CONTROL!$C$22, $C$13, 100%, $E$13)</f>
        <v>8.2055000000000007</v>
      </c>
    </row>
    <row r="462" spans="1:11" ht="15">
      <c r="A462" s="13">
        <v>55701</v>
      </c>
      <c r="B462" s="63">
        <f>7.1492 * CHOOSE(CONTROL!$C$22, $C$13, 100%, $E$13)</f>
        <v>7.1492000000000004</v>
      </c>
      <c r="C462" s="63">
        <f>7.1492 * CHOOSE(CONTROL!$C$22, $C$13, 100%, $E$13)</f>
        <v>7.1492000000000004</v>
      </c>
      <c r="D462" s="63">
        <f>7.1891 * CHOOSE(CONTROL!$C$22, $C$13, 100%, $E$13)</f>
        <v>7.1890999999999998</v>
      </c>
      <c r="E462" s="64">
        <f>8.3643 * CHOOSE(CONTROL!$C$22, $C$13, 100%, $E$13)</f>
        <v>8.3643000000000001</v>
      </c>
      <c r="F462" s="64">
        <f>8.3643 * CHOOSE(CONTROL!$C$22, $C$13, 100%, $E$13)</f>
        <v>8.3643000000000001</v>
      </c>
      <c r="G462" s="64">
        <f>8.3667 * CHOOSE(CONTROL!$C$22, $C$13, 100%, $E$13)</f>
        <v>8.3666999999999998</v>
      </c>
      <c r="H462" s="64">
        <f>14.2598* CHOOSE(CONTROL!$C$22, $C$13, 100%, $E$13)</f>
        <v>14.2598</v>
      </c>
      <c r="I462" s="64">
        <f>14.2623 * CHOOSE(CONTROL!$C$22, $C$13, 100%, $E$13)</f>
        <v>14.2623</v>
      </c>
      <c r="J462" s="64">
        <f>8.3643 * CHOOSE(CONTROL!$C$22, $C$13, 100%, $E$13)</f>
        <v>8.3643000000000001</v>
      </c>
      <c r="K462" s="64">
        <f>8.3667 * CHOOSE(CONTROL!$C$22, $C$13, 100%, $E$13)</f>
        <v>8.3666999999999998</v>
      </c>
    </row>
    <row r="463" spans="1:11" ht="15">
      <c r="A463" s="13">
        <v>55732</v>
      </c>
      <c r="B463" s="63">
        <f>7.1559 * CHOOSE(CONTROL!$C$22, $C$13, 100%, $E$13)</f>
        <v>7.1558999999999999</v>
      </c>
      <c r="C463" s="63">
        <f>7.1559 * CHOOSE(CONTROL!$C$22, $C$13, 100%, $E$13)</f>
        <v>7.1558999999999999</v>
      </c>
      <c r="D463" s="63">
        <f>7.1958 * CHOOSE(CONTROL!$C$22, $C$13, 100%, $E$13)</f>
        <v>7.1958000000000002</v>
      </c>
      <c r="E463" s="64">
        <f>8.2841 * CHOOSE(CONTROL!$C$22, $C$13, 100%, $E$13)</f>
        <v>8.2841000000000005</v>
      </c>
      <c r="F463" s="64">
        <f>8.2841 * CHOOSE(CONTROL!$C$22, $C$13, 100%, $E$13)</f>
        <v>8.2841000000000005</v>
      </c>
      <c r="G463" s="64">
        <f>8.2866 * CHOOSE(CONTROL!$C$22, $C$13, 100%, $E$13)</f>
        <v>8.2866</v>
      </c>
      <c r="H463" s="64">
        <f>14.2896* CHOOSE(CONTROL!$C$22, $C$13, 100%, $E$13)</f>
        <v>14.2896</v>
      </c>
      <c r="I463" s="64">
        <f>14.292 * CHOOSE(CONTROL!$C$22, $C$13, 100%, $E$13)</f>
        <v>14.292</v>
      </c>
      <c r="J463" s="64">
        <f>8.2841 * CHOOSE(CONTROL!$C$22, $C$13, 100%, $E$13)</f>
        <v>8.2841000000000005</v>
      </c>
      <c r="K463" s="64">
        <f>8.2866 * CHOOSE(CONTROL!$C$22, $C$13, 100%, $E$13)</f>
        <v>8.2866</v>
      </c>
    </row>
    <row r="464" spans="1:11" ht="15">
      <c r="A464" s="13">
        <v>55763</v>
      </c>
      <c r="B464" s="63">
        <f>7.1528 * CHOOSE(CONTROL!$C$22, $C$13, 100%, $E$13)</f>
        <v>7.1528</v>
      </c>
      <c r="C464" s="63">
        <f>7.1528 * CHOOSE(CONTROL!$C$22, $C$13, 100%, $E$13)</f>
        <v>7.1528</v>
      </c>
      <c r="D464" s="63">
        <f>7.1928 * CHOOSE(CONTROL!$C$22, $C$13, 100%, $E$13)</f>
        <v>7.1928000000000001</v>
      </c>
      <c r="E464" s="64">
        <f>8.2726 * CHOOSE(CONTROL!$C$22, $C$13, 100%, $E$13)</f>
        <v>8.2726000000000006</v>
      </c>
      <c r="F464" s="64">
        <f>8.2726 * CHOOSE(CONTROL!$C$22, $C$13, 100%, $E$13)</f>
        <v>8.2726000000000006</v>
      </c>
      <c r="G464" s="64">
        <f>8.275 * CHOOSE(CONTROL!$C$22, $C$13, 100%, $E$13)</f>
        <v>8.2750000000000004</v>
      </c>
      <c r="H464" s="64">
        <f>14.3193* CHOOSE(CONTROL!$C$22, $C$13, 100%, $E$13)</f>
        <v>14.3193</v>
      </c>
      <c r="I464" s="64">
        <f>14.3218 * CHOOSE(CONTROL!$C$22, $C$13, 100%, $E$13)</f>
        <v>14.3218</v>
      </c>
      <c r="J464" s="64">
        <f>8.2726 * CHOOSE(CONTROL!$C$22, $C$13, 100%, $E$13)</f>
        <v>8.2726000000000006</v>
      </c>
      <c r="K464" s="64">
        <f>8.275 * CHOOSE(CONTROL!$C$22, $C$13, 100%, $E$13)</f>
        <v>8.2750000000000004</v>
      </c>
    </row>
    <row r="465" spans="1:11" ht="15">
      <c r="A465" s="13">
        <v>55793</v>
      </c>
      <c r="B465" s="63">
        <f>7.1586 * CHOOSE(CONTROL!$C$22, $C$13, 100%, $E$13)</f>
        <v>7.1585999999999999</v>
      </c>
      <c r="C465" s="63">
        <f>7.1586 * CHOOSE(CONTROL!$C$22, $C$13, 100%, $E$13)</f>
        <v>7.1585999999999999</v>
      </c>
      <c r="D465" s="63">
        <f>7.1786 * CHOOSE(CONTROL!$C$22, $C$13, 100%, $E$13)</f>
        <v>7.1786000000000003</v>
      </c>
      <c r="E465" s="64">
        <f>8.2969 * CHOOSE(CONTROL!$C$22, $C$13, 100%, $E$13)</f>
        <v>8.2969000000000008</v>
      </c>
      <c r="F465" s="64">
        <f>8.2969 * CHOOSE(CONTROL!$C$22, $C$13, 100%, $E$13)</f>
        <v>8.2969000000000008</v>
      </c>
      <c r="G465" s="64">
        <f>8.297 * CHOOSE(CONTROL!$C$22, $C$13, 100%, $E$13)</f>
        <v>8.2970000000000006</v>
      </c>
      <c r="H465" s="64">
        <f>14.3492* CHOOSE(CONTROL!$C$22, $C$13, 100%, $E$13)</f>
        <v>14.3492</v>
      </c>
      <c r="I465" s="64">
        <f>14.3493 * CHOOSE(CONTROL!$C$22, $C$13, 100%, $E$13)</f>
        <v>14.349299999999999</v>
      </c>
      <c r="J465" s="64">
        <f>8.2969 * CHOOSE(CONTROL!$C$22, $C$13, 100%, $E$13)</f>
        <v>8.2969000000000008</v>
      </c>
      <c r="K465" s="64">
        <f>8.297 * CHOOSE(CONTROL!$C$22, $C$13, 100%, $E$13)</f>
        <v>8.2970000000000006</v>
      </c>
    </row>
    <row r="466" spans="1:11" ht="15">
      <c r="A466" s="13">
        <v>55824</v>
      </c>
      <c r="B466" s="63">
        <f>7.1616 * CHOOSE(CONTROL!$C$22, $C$13, 100%, $E$13)</f>
        <v>7.1616</v>
      </c>
      <c r="C466" s="63">
        <f>7.1616 * CHOOSE(CONTROL!$C$22, $C$13, 100%, $E$13)</f>
        <v>7.1616</v>
      </c>
      <c r="D466" s="63">
        <f>7.1816 * CHOOSE(CONTROL!$C$22, $C$13, 100%, $E$13)</f>
        <v>7.1816000000000004</v>
      </c>
      <c r="E466" s="64">
        <f>8.3178 * CHOOSE(CONTROL!$C$22, $C$13, 100%, $E$13)</f>
        <v>8.3178000000000001</v>
      </c>
      <c r="F466" s="64">
        <f>8.3178 * CHOOSE(CONTROL!$C$22, $C$13, 100%, $E$13)</f>
        <v>8.3178000000000001</v>
      </c>
      <c r="G466" s="64">
        <f>8.318 * CHOOSE(CONTROL!$C$22, $C$13, 100%, $E$13)</f>
        <v>8.3179999999999996</v>
      </c>
      <c r="H466" s="64">
        <f>14.3791* CHOOSE(CONTROL!$C$22, $C$13, 100%, $E$13)</f>
        <v>14.379099999999999</v>
      </c>
      <c r="I466" s="64">
        <f>14.3792 * CHOOSE(CONTROL!$C$22, $C$13, 100%, $E$13)</f>
        <v>14.379200000000001</v>
      </c>
      <c r="J466" s="64">
        <f>8.3178 * CHOOSE(CONTROL!$C$22, $C$13, 100%, $E$13)</f>
        <v>8.3178000000000001</v>
      </c>
      <c r="K466" s="64">
        <f>8.318 * CHOOSE(CONTROL!$C$22, $C$13, 100%, $E$13)</f>
        <v>8.3179999999999996</v>
      </c>
    </row>
    <row r="467" spans="1:11" ht="15">
      <c r="A467" s="13">
        <v>55854</v>
      </c>
      <c r="B467" s="63">
        <f>7.1616 * CHOOSE(CONTROL!$C$22, $C$13, 100%, $E$13)</f>
        <v>7.1616</v>
      </c>
      <c r="C467" s="63">
        <f>7.1616 * CHOOSE(CONTROL!$C$22, $C$13, 100%, $E$13)</f>
        <v>7.1616</v>
      </c>
      <c r="D467" s="63">
        <f>7.1816 * CHOOSE(CONTROL!$C$22, $C$13, 100%, $E$13)</f>
        <v>7.1816000000000004</v>
      </c>
      <c r="E467" s="64">
        <f>8.2707 * CHOOSE(CONTROL!$C$22, $C$13, 100%, $E$13)</f>
        <v>8.2706999999999997</v>
      </c>
      <c r="F467" s="64">
        <f>8.2707 * CHOOSE(CONTROL!$C$22, $C$13, 100%, $E$13)</f>
        <v>8.2706999999999997</v>
      </c>
      <c r="G467" s="64">
        <f>8.2709 * CHOOSE(CONTROL!$C$22, $C$13, 100%, $E$13)</f>
        <v>8.2708999999999993</v>
      </c>
      <c r="H467" s="64">
        <f>14.409* CHOOSE(CONTROL!$C$22, $C$13, 100%, $E$13)</f>
        <v>14.409000000000001</v>
      </c>
      <c r="I467" s="64">
        <f>14.4092 * CHOOSE(CONTROL!$C$22, $C$13, 100%, $E$13)</f>
        <v>14.4092</v>
      </c>
      <c r="J467" s="64">
        <f>8.2707 * CHOOSE(CONTROL!$C$22, $C$13, 100%, $E$13)</f>
        <v>8.2706999999999997</v>
      </c>
      <c r="K467" s="64">
        <f>8.2709 * CHOOSE(CONTROL!$C$22, $C$13, 100%, $E$13)</f>
        <v>8.2708999999999993</v>
      </c>
    </row>
    <row r="468" spans="1:11" ht="15">
      <c r="A468" s="13">
        <v>55885</v>
      </c>
      <c r="B468" s="63">
        <f>7.2256 * CHOOSE(CONTROL!$C$22, $C$13, 100%, $E$13)</f>
        <v>7.2256</v>
      </c>
      <c r="C468" s="63">
        <f>7.2256 * CHOOSE(CONTROL!$C$22, $C$13, 100%, $E$13)</f>
        <v>7.2256</v>
      </c>
      <c r="D468" s="63">
        <f>7.2455 * CHOOSE(CONTROL!$C$22, $C$13, 100%, $E$13)</f>
        <v>7.2454999999999998</v>
      </c>
      <c r="E468" s="64">
        <f>8.3788 * CHOOSE(CONTROL!$C$22, $C$13, 100%, $E$13)</f>
        <v>8.3788</v>
      </c>
      <c r="F468" s="64">
        <f>8.3788 * CHOOSE(CONTROL!$C$22, $C$13, 100%, $E$13)</f>
        <v>8.3788</v>
      </c>
      <c r="G468" s="64">
        <f>8.379 * CHOOSE(CONTROL!$C$22, $C$13, 100%, $E$13)</f>
        <v>8.3789999999999996</v>
      </c>
      <c r="H468" s="64">
        <f>14.439* CHOOSE(CONTROL!$C$22, $C$13, 100%, $E$13)</f>
        <v>14.439</v>
      </c>
      <c r="I468" s="64">
        <f>14.4392 * CHOOSE(CONTROL!$C$22, $C$13, 100%, $E$13)</f>
        <v>14.4392</v>
      </c>
      <c r="J468" s="64">
        <f>8.3788 * CHOOSE(CONTROL!$C$22, $C$13, 100%, $E$13)</f>
        <v>8.3788</v>
      </c>
      <c r="K468" s="64">
        <f>8.379 * CHOOSE(CONTROL!$C$22, $C$13, 100%, $E$13)</f>
        <v>8.3789999999999996</v>
      </c>
    </row>
    <row r="469" spans="1:11" ht="15">
      <c r="A469" s="13">
        <v>55916</v>
      </c>
      <c r="B469" s="63">
        <f>7.2225 * CHOOSE(CONTROL!$C$22, $C$13, 100%, $E$13)</f>
        <v>7.2225000000000001</v>
      </c>
      <c r="C469" s="63">
        <f>7.2225 * CHOOSE(CONTROL!$C$22, $C$13, 100%, $E$13)</f>
        <v>7.2225000000000001</v>
      </c>
      <c r="D469" s="63">
        <f>7.2425 * CHOOSE(CONTROL!$C$22, $C$13, 100%, $E$13)</f>
        <v>7.2424999999999997</v>
      </c>
      <c r="E469" s="64">
        <f>8.2852 * CHOOSE(CONTROL!$C$22, $C$13, 100%, $E$13)</f>
        <v>8.2851999999999997</v>
      </c>
      <c r="F469" s="64">
        <f>8.2852 * CHOOSE(CONTROL!$C$22, $C$13, 100%, $E$13)</f>
        <v>8.2851999999999997</v>
      </c>
      <c r="G469" s="64">
        <f>8.2854 * CHOOSE(CONTROL!$C$22, $C$13, 100%, $E$13)</f>
        <v>8.2853999999999992</v>
      </c>
      <c r="H469" s="64">
        <f>14.4691* CHOOSE(CONTROL!$C$22, $C$13, 100%, $E$13)</f>
        <v>14.469099999999999</v>
      </c>
      <c r="I469" s="64">
        <f>14.4693 * CHOOSE(CONTROL!$C$22, $C$13, 100%, $E$13)</f>
        <v>14.4693</v>
      </c>
      <c r="J469" s="64">
        <f>8.2852 * CHOOSE(CONTROL!$C$22, $C$13, 100%, $E$13)</f>
        <v>8.2851999999999997</v>
      </c>
      <c r="K469" s="64">
        <f>8.2854 * CHOOSE(CONTROL!$C$22, $C$13, 100%, $E$13)</f>
        <v>8.2853999999999992</v>
      </c>
    </row>
    <row r="470" spans="1:11" ht="15">
      <c r="A470" s="13">
        <v>55944</v>
      </c>
      <c r="B470" s="63">
        <f>7.2195 * CHOOSE(CONTROL!$C$22, $C$13, 100%, $E$13)</f>
        <v>7.2195</v>
      </c>
      <c r="C470" s="63">
        <f>7.2195 * CHOOSE(CONTROL!$C$22, $C$13, 100%, $E$13)</f>
        <v>7.2195</v>
      </c>
      <c r="D470" s="63">
        <f>7.2395 * CHOOSE(CONTROL!$C$22, $C$13, 100%, $E$13)</f>
        <v>7.2394999999999996</v>
      </c>
      <c r="E470" s="64">
        <f>8.3552 * CHOOSE(CONTROL!$C$22, $C$13, 100%, $E$13)</f>
        <v>8.3552</v>
      </c>
      <c r="F470" s="64">
        <f>8.3552 * CHOOSE(CONTROL!$C$22, $C$13, 100%, $E$13)</f>
        <v>8.3552</v>
      </c>
      <c r="G470" s="64">
        <f>8.3554 * CHOOSE(CONTROL!$C$22, $C$13, 100%, $E$13)</f>
        <v>8.3553999999999995</v>
      </c>
      <c r="H470" s="64">
        <f>14.4993* CHOOSE(CONTROL!$C$22, $C$13, 100%, $E$13)</f>
        <v>14.4993</v>
      </c>
      <c r="I470" s="64">
        <f>14.4994 * CHOOSE(CONTROL!$C$22, $C$13, 100%, $E$13)</f>
        <v>14.4994</v>
      </c>
      <c r="J470" s="64">
        <f>8.3552 * CHOOSE(CONTROL!$C$22, $C$13, 100%, $E$13)</f>
        <v>8.3552</v>
      </c>
      <c r="K470" s="64">
        <f>8.3554 * CHOOSE(CONTROL!$C$22, $C$13, 100%, $E$13)</f>
        <v>8.3553999999999995</v>
      </c>
    </row>
    <row r="471" spans="1:11" ht="15">
      <c r="A471" s="13">
        <v>55975</v>
      </c>
      <c r="B471" s="63">
        <f>7.22 * CHOOSE(CONTROL!$C$22, $C$13, 100%, $E$13)</f>
        <v>7.22</v>
      </c>
      <c r="C471" s="63">
        <f>7.22 * CHOOSE(CONTROL!$C$22, $C$13, 100%, $E$13)</f>
        <v>7.22</v>
      </c>
      <c r="D471" s="63">
        <f>7.24 * CHOOSE(CONTROL!$C$22, $C$13, 100%, $E$13)</f>
        <v>7.24</v>
      </c>
      <c r="E471" s="64">
        <f>8.4285 * CHOOSE(CONTROL!$C$22, $C$13, 100%, $E$13)</f>
        <v>8.4284999999999997</v>
      </c>
      <c r="F471" s="64">
        <f>8.4285 * CHOOSE(CONTROL!$C$22, $C$13, 100%, $E$13)</f>
        <v>8.4284999999999997</v>
      </c>
      <c r="G471" s="64">
        <f>8.4287 * CHOOSE(CONTROL!$C$22, $C$13, 100%, $E$13)</f>
        <v>8.4286999999999992</v>
      </c>
      <c r="H471" s="64">
        <f>14.5295* CHOOSE(CONTROL!$C$22, $C$13, 100%, $E$13)</f>
        <v>14.529500000000001</v>
      </c>
      <c r="I471" s="64">
        <f>14.5296 * CHOOSE(CONTROL!$C$22, $C$13, 100%, $E$13)</f>
        <v>14.5296</v>
      </c>
      <c r="J471" s="64">
        <f>8.4285 * CHOOSE(CONTROL!$C$22, $C$13, 100%, $E$13)</f>
        <v>8.4284999999999997</v>
      </c>
      <c r="K471" s="64">
        <f>8.4287 * CHOOSE(CONTROL!$C$22, $C$13, 100%, $E$13)</f>
        <v>8.4286999999999992</v>
      </c>
    </row>
    <row r="472" spans="1:11" ht="15">
      <c r="A472" s="13">
        <v>56005</v>
      </c>
      <c r="B472" s="63">
        <f>7.22 * CHOOSE(CONTROL!$C$22, $C$13, 100%, $E$13)</f>
        <v>7.22</v>
      </c>
      <c r="C472" s="63">
        <f>7.22 * CHOOSE(CONTROL!$C$22, $C$13, 100%, $E$13)</f>
        <v>7.22</v>
      </c>
      <c r="D472" s="63">
        <f>7.2599 * CHOOSE(CONTROL!$C$22, $C$13, 100%, $E$13)</f>
        <v>7.2599</v>
      </c>
      <c r="E472" s="64">
        <f>8.4576 * CHOOSE(CONTROL!$C$22, $C$13, 100%, $E$13)</f>
        <v>8.4575999999999993</v>
      </c>
      <c r="F472" s="64">
        <f>8.4576 * CHOOSE(CONTROL!$C$22, $C$13, 100%, $E$13)</f>
        <v>8.4575999999999993</v>
      </c>
      <c r="G472" s="64">
        <f>8.46 * CHOOSE(CONTROL!$C$22, $C$13, 100%, $E$13)</f>
        <v>8.4600000000000009</v>
      </c>
      <c r="H472" s="64">
        <f>14.5597* CHOOSE(CONTROL!$C$22, $C$13, 100%, $E$13)</f>
        <v>14.559699999999999</v>
      </c>
      <c r="I472" s="64">
        <f>14.5622 * CHOOSE(CONTROL!$C$22, $C$13, 100%, $E$13)</f>
        <v>14.562200000000001</v>
      </c>
      <c r="J472" s="64">
        <f>8.4576 * CHOOSE(CONTROL!$C$22, $C$13, 100%, $E$13)</f>
        <v>8.4575999999999993</v>
      </c>
      <c r="K472" s="64">
        <f>8.46 * CHOOSE(CONTROL!$C$22, $C$13, 100%, $E$13)</f>
        <v>8.4600000000000009</v>
      </c>
    </row>
    <row r="473" spans="1:11" ht="15">
      <c r="A473" s="13">
        <v>56036</v>
      </c>
      <c r="B473" s="63">
        <f>7.2261 * CHOOSE(CONTROL!$C$22, $C$13, 100%, $E$13)</f>
        <v>7.2260999999999997</v>
      </c>
      <c r="C473" s="63">
        <f>7.2261 * CHOOSE(CONTROL!$C$22, $C$13, 100%, $E$13)</f>
        <v>7.2260999999999997</v>
      </c>
      <c r="D473" s="63">
        <f>7.266 * CHOOSE(CONTROL!$C$22, $C$13, 100%, $E$13)</f>
        <v>7.266</v>
      </c>
      <c r="E473" s="64">
        <f>8.4327 * CHOOSE(CONTROL!$C$22, $C$13, 100%, $E$13)</f>
        <v>8.4327000000000005</v>
      </c>
      <c r="F473" s="64">
        <f>8.4327 * CHOOSE(CONTROL!$C$22, $C$13, 100%, $E$13)</f>
        <v>8.4327000000000005</v>
      </c>
      <c r="G473" s="64">
        <f>8.4352 * CHOOSE(CONTROL!$C$22, $C$13, 100%, $E$13)</f>
        <v>8.4352</v>
      </c>
      <c r="H473" s="64">
        <f>14.5901* CHOOSE(CONTROL!$C$22, $C$13, 100%, $E$13)</f>
        <v>14.5901</v>
      </c>
      <c r="I473" s="64">
        <f>14.5925 * CHOOSE(CONTROL!$C$22, $C$13, 100%, $E$13)</f>
        <v>14.592499999999999</v>
      </c>
      <c r="J473" s="64">
        <f>8.4327 * CHOOSE(CONTROL!$C$22, $C$13, 100%, $E$13)</f>
        <v>8.4327000000000005</v>
      </c>
      <c r="K473" s="64">
        <f>8.4352 * CHOOSE(CONTROL!$C$22, $C$13, 100%, $E$13)</f>
        <v>8.4352</v>
      </c>
    </row>
    <row r="474" spans="1:11" ht="15">
      <c r="A474" s="13">
        <v>56066</v>
      </c>
      <c r="B474" s="63">
        <f>7.3442 * CHOOSE(CONTROL!$C$22, $C$13, 100%, $E$13)</f>
        <v>7.3441999999999998</v>
      </c>
      <c r="C474" s="63">
        <f>7.3442 * CHOOSE(CONTROL!$C$22, $C$13, 100%, $E$13)</f>
        <v>7.3441999999999998</v>
      </c>
      <c r="D474" s="63">
        <f>7.3841 * CHOOSE(CONTROL!$C$22, $C$13, 100%, $E$13)</f>
        <v>7.3841000000000001</v>
      </c>
      <c r="E474" s="64">
        <f>8.5982 * CHOOSE(CONTROL!$C$22, $C$13, 100%, $E$13)</f>
        <v>8.5982000000000003</v>
      </c>
      <c r="F474" s="64">
        <f>8.5982 * CHOOSE(CONTROL!$C$22, $C$13, 100%, $E$13)</f>
        <v>8.5982000000000003</v>
      </c>
      <c r="G474" s="64">
        <f>8.6006 * CHOOSE(CONTROL!$C$22, $C$13, 100%, $E$13)</f>
        <v>8.6006</v>
      </c>
      <c r="H474" s="64">
        <f>14.6205* CHOOSE(CONTROL!$C$22, $C$13, 100%, $E$13)</f>
        <v>14.6205</v>
      </c>
      <c r="I474" s="64">
        <f>14.6229 * CHOOSE(CONTROL!$C$22, $C$13, 100%, $E$13)</f>
        <v>14.6229</v>
      </c>
      <c r="J474" s="64">
        <f>8.5982 * CHOOSE(CONTROL!$C$22, $C$13, 100%, $E$13)</f>
        <v>8.5982000000000003</v>
      </c>
      <c r="K474" s="64">
        <f>8.6006 * CHOOSE(CONTROL!$C$22, $C$13, 100%, $E$13)</f>
        <v>8.6006</v>
      </c>
    </row>
    <row r="475" spans="1:11" ht="15">
      <c r="A475" s="13">
        <v>56097</v>
      </c>
      <c r="B475" s="63">
        <f>7.3509 * CHOOSE(CONTROL!$C$22, $C$13, 100%, $E$13)</f>
        <v>7.3509000000000002</v>
      </c>
      <c r="C475" s="63">
        <f>7.3509 * CHOOSE(CONTROL!$C$22, $C$13, 100%, $E$13)</f>
        <v>7.3509000000000002</v>
      </c>
      <c r="D475" s="63">
        <f>7.3908 * CHOOSE(CONTROL!$C$22, $C$13, 100%, $E$13)</f>
        <v>7.3907999999999996</v>
      </c>
      <c r="E475" s="64">
        <f>8.5157 * CHOOSE(CONTROL!$C$22, $C$13, 100%, $E$13)</f>
        <v>8.5157000000000007</v>
      </c>
      <c r="F475" s="64">
        <f>8.5157 * CHOOSE(CONTROL!$C$22, $C$13, 100%, $E$13)</f>
        <v>8.5157000000000007</v>
      </c>
      <c r="G475" s="64">
        <f>8.5181 * CHOOSE(CONTROL!$C$22, $C$13, 100%, $E$13)</f>
        <v>8.5181000000000004</v>
      </c>
      <c r="H475" s="64">
        <f>14.6509* CHOOSE(CONTROL!$C$22, $C$13, 100%, $E$13)</f>
        <v>14.6509</v>
      </c>
      <c r="I475" s="64">
        <f>14.6534 * CHOOSE(CONTROL!$C$22, $C$13, 100%, $E$13)</f>
        <v>14.6534</v>
      </c>
      <c r="J475" s="64">
        <f>8.5157 * CHOOSE(CONTROL!$C$22, $C$13, 100%, $E$13)</f>
        <v>8.5157000000000007</v>
      </c>
      <c r="K475" s="64">
        <f>8.5181 * CHOOSE(CONTROL!$C$22, $C$13, 100%, $E$13)</f>
        <v>8.5181000000000004</v>
      </c>
    </row>
    <row r="476" spans="1:11" ht="15">
      <c r="A476" s="13">
        <v>56128</v>
      </c>
      <c r="B476" s="63">
        <f>7.3479 * CHOOSE(CONTROL!$C$22, $C$13, 100%, $E$13)</f>
        <v>7.3479000000000001</v>
      </c>
      <c r="C476" s="63">
        <f>7.3479 * CHOOSE(CONTROL!$C$22, $C$13, 100%, $E$13)</f>
        <v>7.3479000000000001</v>
      </c>
      <c r="D476" s="63">
        <f>7.3878 * CHOOSE(CONTROL!$C$22, $C$13, 100%, $E$13)</f>
        <v>7.3878000000000004</v>
      </c>
      <c r="E476" s="64">
        <f>8.5039 * CHOOSE(CONTROL!$C$22, $C$13, 100%, $E$13)</f>
        <v>8.5038999999999998</v>
      </c>
      <c r="F476" s="64">
        <f>8.5039 * CHOOSE(CONTROL!$C$22, $C$13, 100%, $E$13)</f>
        <v>8.5038999999999998</v>
      </c>
      <c r="G476" s="64">
        <f>8.5063 * CHOOSE(CONTROL!$C$22, $C$13, 100%, $E$13)</f>
        <v>8.5062999999999995</v>
      </c>
      <c r="H476" s="64">
        <f>14.6814* CHOOSE(CONTROL!$C$22, $C$13, 100%, $E$13)</f>
        <v>14.6814</v>
      </c>
      <c r="I476" s="64">
        <f>14.6839 * CHOOSE(CONTROL!$C$22, $C$13, 100%, $E$13)</f>
        <v>14.6839</v>
      </c>
      <c r="J476" s="64">
        <f>8.5039 * CHOOSE(CONTROL!$C$22, $C$13, 100%, $E$13)</f>
        <v>8.5038999999999998</v>
      </c>
      <c r="K476" s="64">
        <f>8.5063 * CHOOSE(CONTROL!$C$22, $C$13, 100%, $E$13)</f>
        <v>8.5062999999999995</v>
      </c>
    </row>
    <row r="477" spans="1:11" ht="15">
      <c r="A477" s="13">
        <v>56158</v>
      </c>
      <c r="B477" s="63">
        <f>7.3543 * CHOOSE(CONTROL!$C$22, $C$13, 100%, $E$13)</f>
        <v>7.3543000000000003</v>
      </c>
      <c r="C477" s="63">
        <f>7.3543 * CHOOSE(CONTROL!$C$22, $C$13, 100%, $E$13)</f>
        <v>7.3543000000000003</v>
      </c>
      <c r="D477" s="63">
        <f>7.3742 * CHOOSE(CONTROL!$C$22, $C$13, 100%, $E$13)</f>
        <v>7.3742000000000001</v>
      </c>
      <c r="E477" s="64">
        <f>8.5292 * CHOOSE(CONTROL!$C$22, $C$13, 100%, $E$13)</f>
        <v>8.5291999999999994</v>
      </c>
      <c r="F477" s="64">
        <f>8.5292 * CHOOSE(CONTROL!$C$22, $C$13, 100%, $E$13)</f>
        <v>8.5291999999999994</v>
      </c>
      <c r="G477" s="64">
        <f>8.5294 * CHOOSE(CONTROL!$C$22, $C$13, 100%, $E$13)</f>
        <v>8.5294000000000008</v>
      </c>
      <c r="H477" s="64">
        <f>14.712* CHOOSE(CONTROL!$C$22, $C$13, 100%, $E$13)</f>
        <v>14.712</v>
      </c>
      <c r="I477" s="64">
        <f>14.7122 * CHOOSE(CONTROL!$C$22, $C$13, 100%, $E$13)</f>
        <v>14.712199999999999</v>
      </c>
      <c r="J477" s="64">
        <f>8.5292 * CHOOSE(CONTROL!$C$22, $C$13, 100%, $E$13)</f>
        <v>8.5291999999999994</v>
      </c>
      <c r="K477" s="64">
        <f>8.5294 * CHOOSE(CONTROL!$C$22, $C$13, 100%, $E$13)</f>
        <v>8.5294000000000008</v>
      </c>
    </row>
    <row r="478" spans="1:11" ht="15">
      <c r="A478" s="13">
        <v>56189</v>
      </c>
      <c r="B478" s="63">
        <f>7.3573 * CHOOSE(CONTROL!$C$22, $C$13, 100%, $E$13)</f>
        <v>7.3573000000000004</v>
      </c>
      <c r="C478" s="63">
        <f>7.3573 * CHOOSE(CONTROL!$C$22, $C$13, 100%, $E$13)</f>
        <v>7.3573000000000004</v>
      </c>
      <c r="D478" s="63">
        <f>7.3773 * CHOOSE(CONTROL!$C$22, $C$13, 100%, $E$13)</f>
        <v>7.3773</v>
      </c>
      <c r="E478" s="64">
        <f>8.5507 * CHOOSE(CONTROL!$C$22, $C$13, 100%, $E$13)</f>
        <v>8.5507000000000009</v>
      </c>
      <c r="F478" s="64">
        <f>8.5507 * CHOOSE(CONTROL!$C$22, $C$13, 100%, $E$13)</f>
        <v>8.5507000000000009</v>
      </c>
      <c r="G478" s="64">
        <f>8.5509 * CHOOSE(CONTROL!$C$22, $C$13, 100%, $E$13)</f>
        <v>8.5509000000000004</v>
      </c>
      <c r="H478" s="64">
        <f>14.7427* CHOOSE(CONTROL!$C$22, $C$13, 100%, $E$13)</f>
        <v>14.742699999999999</v>
      </c>
      <c r="I478" s="64">
        <f>14.7429 * CHOOSE(CONTROL!$C$22, $C$13, 100%, $E$13)</f>
        <v>14.742900000000001</v>
      </c>
      <c r="J478" s="64">
        <f>8.5507 * CHOOSE(CONTROL!$C$22, $C$13, 100%, $E$13)</f>
        <v>8.5507000000000009</v>
      </c>
      <c r="K478" s="64">
        <f>8.5509 * CHOOSE(CONTROL!$C$22, $C$13, 100%, $E$13)</f>
        <v>8.5509000000000004</v>
      </c>
    </row>
    <row r="479" spans="1:11" ht="15">
      <c r="A479" s="13">
        <v>56219</v>
      </c>
      <c r="B479" s="63">
        <f>7.3573 * CHOOSE(CONTROL!$C$22, $C$13, 100%, $E$13)</f>
        <v>7.3573000000000004</v>
      </c>
      <c r="C479" s="63">
        <f>7.3573 * CHOOSE(CONTROL!$C$22, $C$13, 100%, $E$13)</f>
        <v>7.3573000000000004</v>
      </c>
      <c r="D479" s="63">
        <f>7.3773 * CHOOSE(CONTROL!$C$22, $C$13, 100%, $E$13)</f>
        <v>7.3773</v>
      </c>
      <c r="E479" s="64">
        <f>8.5022 * CHOOSE(CONTROL!$C$22, $C$13, 100%, $E$13)</f>
        <v>8.5022000000000002</v>
      </c>
      <c r="F479" s="64">
        <f>8.5022 * CHOOSE(CONTROL!$C$22, $C$13, 100%, $E$13)</f>
        <v>8.5022000000000002</v>
      </c>
      <c r="G479" s="64">
        <f>8.5024 * CHOOSE(CONTROL!$C$22, $C$13, 100%, $E$13)</f>
        <v>8.5023999999999997</v>
      </c>
      <c r="H479" s="64">
        <f>14.7734* CHOOSE(CONTROL!$C$22, $C$13, 100%, $E$13)</f>
        <v>14.773400000000001</v>
      </c>
      <c r="I479" s="64">
        <f>14.7736 * CHOOSE(CONTROL!$C$22, $C$13, 100%, $E$13)</f>
        <v>14.7736</v>
      </c>
      <c r="J479" s="64">
        <f>8.5022 * CHOOSE(CONTROL!$C$22, $C$13, 100%, $E$13)</f>
        <v>8.5022000000000002</v>
      </c>
      <c r="K479" s="64">
        <f>8.5024 * CHOOSE(CONTROL!$C$22, $C$13, 100%, $E$13)</f>
        <v>8.5023999999999997</v>
      </c>
    </row>
    <row r="480" spans="1:11" ht="15">
      <c r="A480" s="13">
        <v>56250</v>
      </c>
      <c r="B480" s="63">
        <f>7.4229 * CHOOSE(CONTROL!$C$22, $C$13, 100%, $E$13)</f>
        <v>7.4229000000000003</v>
      </c>
      <c r="C480" s="63">
        <f>7.4229 * CHOOSE(CONTROL!$C$22, $C$13, 100%, $E$13)</f>
        <v>7.4229000000000003</v>
      </c>
      <c r="D480" s="63">
        <f>7.4428 * CHOOSE(CONTROL!$C$22, $C$13, 100%, $E$13)</f>
        <v>7.4428000000000001</v>
      </c>
      <c r="E480" s="64">
        <f>8.6133 * CHOOSE(CONTROL!$C$22, $C$13, 100%, $E$13)</f>
        <v>8.6133000000000006</v>
      </c>
      <c r="F480" s="64">
        <f>8.6133 * CHOOSE(CONTROL!$C$22, $C$13, 100%, $E$13)</f>
        <v>8.6133000000000006</v>
      </c>
      <c r="G480" s="64">
        <f>8.6135 * CHOOSE(CONTROL!$C$22, $C$13, 100%, $E$13)</f>
        <v>8.6135000000000002</v>
      </c>
      <c r="H480" s="64">
        <f>14.8042* CHOOSE(CONTROL!$C$22, $C$13, 100%, $E$13)</f>
        <v>14.8042</v>
      </c>
      <c r="I480" s="64">
        <f>14.8043 * CHOOSE(CONTROL!$C$22, $C$13, 100%, $E$13)</f>
        <v>14.8043</v>
      </c>
      <c r="J480" s="64">
        <f>8.6133 * CHOOSE(CONTROL!$C$22, $C$13, 100%, $E$13)</f>
        <v>8.6133000000000006</v>
      </c>
      <c r="K480" s="64">
        <f>8.6135 * CHOOSE(CONTROL!$C$22, $C$13, 100%, $E$13)</f>
        <v>8.6135000000000002</v>
      </c>
    </row>
    <row r="481" spans="1:11" ht="15">
      <c r="A481" s="13">
        <v>56281</v>
      </c>
      <c r="B481" s="63">
        <f>7.4198 * CHOOSE(CONTROL!$C$22, $C$13, 100%, $E$13)</f>
        <v>7.4198000000000004</v>
      </c>
      <c r="C481" s="63">
        <f>7.4198 * CHOOSE(CONTROL!$C$22, $C$13, 100%, $E$13)</f>
        <v>7.4198000000000004</v>
      </c>
      <c r="D481" s="63">
        <f>7.4398 * CHOOSE(CONTROL!$C$22, $C$13, 100%, $E$13)</f>
        <v>7.4398</v>
      </c>
      <c r="E481" s="64">
        <f>8.5171 * CHOOSE(CONTROL!$C$22, $C$13, 100%, $E$13)</f>
        <v>8.5170999999999992</v>
      </c>
      <c r="F481" s="64">
        <f>8.5171 * CHOOSE(CONTROL!$C$22, $C$13, 100%, $E$13)</f>
        <v>8.5170999999999992</v>
      </c>
      <c r="G481" s="64">
        <f>8.5173 * CHOOSE(CONTROL!$C$22, $C$13, 100%, $E$13)</f>
        <v>8.5173000000000005</v>
      </c>
      <c r="H481" s="64">
        <f>14.835* CHOOSE(CONTROL!$C$22, $C$13, 100%, $E$13)</f>
        <v>14.835000000000001</v>
      </c>
      <c r="I481" s="64">
        <f>14.8352 * CHOOSE(CONTROL!$C$22, $C$13, 100%, $E$13)</f>
        <v>14.8352</v>
      </c>
      <c r="J481" s="64">
        <f>8.5171 * CHOOSE(CONTROL!$C$22, $C$13, 100%, $E$13)</f>
        <v>8.5170999999999992</v>
      </c>
      <c r="K481" s="64">
        <f>8.5173 * CHOOSE(CONTROL!$C$22, $C$13, 100%, $E$13)</f>
        <v>8.5173000000000005</v>
      </c>
    </row>
    <row r="482" spans="1:11" ht="15">
      <c r="A482" s="13">
        <v>56309</v>
      </c>
      <c r="B482" s="63">
        <f>7.4168 * CHOOSE(CONTROL!$C$22, $C$13, 100%, $E$13)</f>
        <v>7.4168000000000003</v>
      </c>
      <c r="C482" s="63">
        <f>7.4168 * CHOOSE(CONTROL!$C$22, $C$13, 100%, $E$13)</f>
        <v>7.4168000000000003</v>
      </c>
      <c r="D482" s="63">
        <f>7.4368 * CHOOSE(CONTROL!$C$22, $C$13, 100%, $E$13)</f>
        <v>7.4367999999999999</v>
      </c>
      <c r="E482" s="64">
        <f>8.5892 * CHOOSE(CONTROL!$C$22, $C$13, 100%, $E$13)</f>
        <v>8.5891999999999999</v>
      </c>
      <c r="F482" s="64">
        <f>8.5892 * CHOOSE(CONTROL!$C$22, $C$13, 100%, $E$13)</f>
        <v>8.5891999999999999</v>
      </c>
      <c r="G482" s="64">
        <f>8.5893 * CHOOSE(CONTROL!$C$22, $C$13, 100%, $E$13)</f>
        <v>8.5892999999999997</v>
      </c>
      <c r="H482" s="64">
        <f>14.8659* CHOOSE(CONTROL!$C$22, $C$13, 100%, $E$13)</f>
        <v>14.8659</v>
      </c>
      <c r="I482" s="64">
        <f>14.8661 * CHOOSE(CONTROL!$C$22, $C$13, 100%, $E$13)</f>
        <v>14.866099999999999</v>
      </c>
      <c r="J482" s="64">
        <f>8.5892 * CHOOSE(CONTROL!$C$22, $C$13, 100%, $E$13)</f>
        <v>8.5891999999999999</v>
      </c>
      <c r="K482" s="64">
        <f>8.5893 * CHOOSE(CONTROL!$C$22, $C$13, 100%, $E$13)</f>
        <v>8.5892999999999997</v>
      </c>
    </row>
    <row r="483" spans="1:11" ht="15">
      <c r="A483" s="13">
        <v>56340</v>
      </c>
      <c r="B483" s="63">
        <f>7.4175 * CHOOSE(CONTROL!$C$22, $C$13, 100%, $E$13)</f>
        <v>7.4175000000000004</v>
      </c>
      <c r="C483" s="63">
        <f>7.4175 * CHOOSE(CONTROL!$C$22, $C$13, 100%, $E$13)</f>
        <v>7.4175000000000004</v>
      </c>
      <c r="D483" s="63">
        <f>7.4374 * CHOOSE(CONTROL!$C$22, $C$13, 100%, $E$13)</f>
        <v>7.4374000000000002</v>
      </c>
      <c r="E483" s="64">
        <f>8.6646 * CHOOSE(CONTROL!$C$22, $C$13, 100%, $E$13)</f>
        <v>8.6646000000000001</v>
      </c>
      <c r="F483" s="64">
        <f>8.6646 * CHOOSE(CONTROL!$C$22, $C$13, 100%, $E$13)</f>
        <v>8.6646000000000001</v>
      </c>
      <c r="G483" s="64">
        <f>8.6648 * CHOOSE(CONTROL!$C$22, $C$13, 100%, $E$13)</f>
        <v>8.6647999999999996</v>
      </c>
      <c r="H483" s="64">
        <f>14.8969* CHOOSE(CONTROL!$C$22, $C$13, 100%, $E$13)</f>
        <v>14.8969</v>
      </c>
      <c r="I483" s="64">
        <f>14.8971 * CHOOSE(CONTROL!$C$22, $C$13, 100%, $E$13)</f>
        <v>14.8971</v>
      </c>
      <c r="J483" s="64">
        <f>8.6646 * CHOOSE(CONTROL!$C$22, $C$13, 100%, $E$13)</f>
        <v>8.6646000000000001</v>
      </c>
      <c r="K483" s="64">
        <f>8.6648 * CHOOSE(CONTROL!$C$22, $C$13, 100%, $E$13)</f>
        <v>8.6647999999999996</v>
      </c>
    </row>
    <row r="484" spans="1:11" ht="15">
      <c r="A484" s="13">
        <v>56370</v>
      </c>
      <c r="B484" s="63">
        <f>7.4175 * CHOOSE(CONTROL!$C$22, $C$13, 100%, $E$13)</f>
        <v>7.4175000000000004</v>
      </c>
      <c r="C484" s="63">
        <f>7.4175 * CHOOSE(CONTROL!$C$22, $C$13, 100%, $E$13)</f>
        <v>7.4175000000000004</v>
      </c>
      <c r="D484" s="63">
        <f>7.4574 * CHOOSE(CONTROL!$C$22, $C$13, 100%, $E$13)</f>
        <v>7.4573999999999998</v>
      </c>
      <c r="E484" s="64">
        <f>8.6945 * CHOOSE(CONTROL!$C$22, $C$13, 100%, $E$13)</f>
        <v>8.6944999999999997</v>
      </c>
      <c r="F484" s="64">
        <f>8.6945 * CHOOSE(CONTROL!$C$22, $C$13, 100%, $E$13)</f>
        <v>8.6944999999999997</v>
      </c>
      <c r="G484" s="64">
        <f>8.6969 * CHOOSE(CONTROL!$C$22, $C$13, 100%, $E$13)</f>
        <v>8.6968999999999994</v>
      </c>
      <c r="H484" s="64">
        <f>14.9279* CHOOSE(CONTROL!$C$22, $C$13, 100%, $E$13)</f>
        <v>14.927899999999999</v>
      </c>
      <c r="I484" s="64">
        <f>14.9304 * CHOOSE(CONTROL!$C$22, $C$13, 100%, $E$13)</f>
        <v>14.930400000000001</v>
      </c>
      <c r="J484" s="64">
        <f>8.6945 * CHOOSE(CONTROL!$C$22, $C$13, 100%, $E$13)</f>
        <v>8.6944999999999997</v>
      </c>
      <c r="K484" s="64">
        <f>8.6969 * CHOOSE(CONTROL!$C$22, $C$13, 100%, $E$13)</f>
        <v>8.6968999999999994</v>
      </c>
    </row>
    <row r="485" spans="1:11" ht="15">
      <c r="A485" s="13">
        <v>56401</v>
      </c>
      <c r="B485" s="63">
        <f>7.4235 * CHOOSE(CONTROL!$C$22, $C$13, 100%, $E$13)</f>
        <v>7.4234999999999998</v>
      </c>
      <c r="C485" s="63">
        <f>7.4235 * CHOOSE(CONTROL!$C$22, $C$13, 100%, $E$13)</f>
        <v>7.4234999999999998</v>
      </c>
      <c r="D485" s="63">
        <f>7.4635 * CHOOSE(CONTROL!$C$22, $C$13, 100%, $E$13)</f>
        <v>7.4634999999999998</v>
      </c>
      <c r="E485" s="64">
        <f>8.6688 * CHOOSE(CONTROL!$C$22, $C$13, 100%, $E$13)</f>
        <v>8.6687999999999992</v>
      </c>
      <c r="F485" s="64">
        <f>8.6688 * CHOOSE(CONTROL!$C$22, $C$13, 100%, $E$13)</f>
        <v>8.6687999999999992</v>
      </c>
      <c r="G485" s="64">
        <f>8.6713 * CHOOSE(CONTROL!$C$22, $C$13, 100%, $E$13)</f>
        <v>8.6713000000000005</v>
      </c>
      <c r="H485" s="64">
        <f>14.959* CHOOSE(CONTROL!$C$22, $C$13, 100%, $E$13)</f>
        <v>14.959</v>
      </c>
      <c r="I485" s="64">
        <f>14.9615 * CHOOSE(CONTROL!$C$22, $C$13, 100%, $E$13)</f>
        <v>14.961499999999999</v>
      </c>
      <c r="J485" s="64">
        <f>8.6688 * CHOOSE(CONTROL!$C$22, $C$13, 100%, $E$13)</f>
        <v>8.6687999999999992</v>
      </c>
      <c r="K485" s="64">
        <f>8.6713 * CHOOSE(CONTROL!$C$22, $C$13, 100%, $E$13)</f>
        <v>8.6713000000000005</v>
      </c>
    </row>
    <row r="486" spans="1:11" ht="15">
      <c r="A486" s="13">
        <v>56431</v>
      </c>
      <c r="B486" s="63">
        <f>7.5446 * CHOOSE(CONTROL!$C$22, $C$13, 100%, $E$13)</f>
        <v>7.5446</v>
      </c>
      <c r="C486" s="63">
        <f>7.5446 * CHOOSE(CONTROL!$C$22, $C$13, 100%, $E$13)</f>
        <v>7.5446</v>
      </c>
      <c r="D486" s="63">
        <f>7.5846 * CHOOSE(CONTROL!$C$22, $C$13, 100%, $E$13)</f>
        <v>7.5846</v>
      </c>
      <c r="E486" s="64">
        <f>8.8387 * CHOOSE(CONTROL!$C$22, $C$13, 100%, $E$13)</f>
        <v>8.8386999999999993</v>
      </c>
      <c r="F486" s="64">
        <f>8.8387 * CHOOSE(CONTROL!$C$22, $C$13, 100%, $E$13)</f>
        <v>8.8386999999999993</v>
      </c>
      <c r="G486" s="64">
        <f>8.8411 * CHOOSE(CONTROL!$C$22, $C$13, 100%, $E$13)</f>
        <v>8.8411000000000008</v>
      </c>
      <c r="H486" s="64">
        <f>14.9902* CHOOSE(CONTROL!$C$22, $C$13, 100%, $E$13)</f>
        <v>14.9902</v>
      </c>
      <c r="I486" s="64">
        <f>14.9926 * CHOOSE(CONTROL!$C$22, $C$13, 100%, $E$13)</f>
        <v>14.992599999999999</v>
      </c>
      <c r="J486" s="64">
        <f>8.8387 * CHOOSE(CONTROL!$C$22, $C$13, 100%, $E$13)</f>
        <v>8.8386999999999993</v>
      </c>
      <c r="K486" s="64">
        <f>8.8411 * CHOOSE(CONTROL!$C$22, $C$13, 100%, $E$13)</f>
        <v>8.8411000000000008</v>
      </c>
    </row>
    <row r="487" spans="1:11" ht="15">
      <c r="A487" s="13">
        <v>56462</v>
      </c>
      <c r="B487" s="63">
        <f>7.5513 * CHOOSE(CONTROL!$C$22, $C$13, 100%, $E$13)</f>
        <v>7.5513000000000003</v>
      </c>
      <c r="C487" s="63">
        <f>7.5513 * CHOOSE(CONTROL!$C$22, $C$13, 100%, $E$13)</f>
        <v>7.5513000000000003</v>
      </c>
      <c r="D487" s="63">
        <f>7.5912 * CHOOSE(CONTROL!$C$22, $C$13, 100%, $E$13)</f>
        <v>7.5911999999999997</v>
      </c>
      <c r="E487" s="64">
        <f>8.7537 * CHOOSE(CONTROL!$C$22, $C$13, 100%, $E$13)</f>
        <v>8.7537000000000003</v>
      </c>
      <c r="F487" s="64">
        <f>8.7537 * CHOOSE(CONTROL!$C$22, $C$13, 100%, $E$13)</f>
        <v>8.7537000000000003</v>
      </c>
      <c r="G487" s="64">
        <f>8.7561 * CHOOSE(CONTROL!$C$22, $C$13, 100%, $E$13)</f>
        <v>8.7561</v>
      </c>
      <c r="H487" s="64">
        <f>15.0214* CHOOSE(CONTROL!$C$22, $C$13, 100%, $E$13)</f>
        <v>15.0214</v>
      </c>
      <c r="I487" s="64">
        <f>15.0239 * CHOOSE(CONTROL!$C$22, $C$13, 100%, $E$13)</f>
        <v>15.023899999999999</v>
      </c>
      <c r="J487" s="64">
        <f>8.7537 * CHOOSE(CONTROL!$C$22, $C$13, 100%, $E$13)</f>
        <v>8.7537000000000003</v>
      </c>
      <c r="K487" s="64">
        <f>8.7561 * CHOOSE(CONTROL!$C$22, $C$13, 100%, $E$13)</f>
        <v>8.7561</v>
      </c>
    </row>
    <row r="488" spans="1:11" ht="15">
      <c r="A488" s="13">
        <v>56493</v>
      </c>
      <c r="B488" s="63">
        <f>7.5483 * CHOOSE(CONTROL!$C$22, $C$13, 100%, $E$13)</f>
        <v>7.5483000000000002</v>
      </c>
      <c r="C488" s="63">
        <f>7.5483 * CHOOSE(CONTROL!$C$22, $C$13, 100%, $E$13)</f>
        <v>7.5483000000000002</v>
      </c>
      <c r="D488" s="63">
        <f>7.5882 * CHOOSE(CONTROL!$C$22, $C$13, 100%, $E$13)</f>
        <v>7.5881999999999996</v>
      </c>
      <c r="E488" s="64">
        <f>8.7416 * CHOOSE(CONTROL!$C$22, $C$13, 100%, $E$13)</f>
        <v>8.7416</v>
      </c>
      <c r="F488" s="64">
        <f>8.7416 * CHOOSE(CONTROL!$C$22, $C$13, 100%, $E$13)</f>
        <v>8.7416</v>
      </c>
      <c r="G488" s="64">
        <f>8.744 * CHOOSE(CONTROL!$C$22, $C$13, 100%, $E$13)</f>
        <v>8.7439999999999998</v>
      </c>
      <c r="H488" s="64">
        <f>15.0527* CHOOSE(CONTROL!$C$22, $C$13, 100%, $E$13)</f>
        <v>15.0527</v>
      </c>
      <c r="I488" s="64">
        <f>15.0552 * CHOOSE(CONTROL!$C$22, $C$13, 100%, $E$13)</f>
        <v>15.055199999999999</v>
      </c>
      <c r="J488" s="64">
        <f>8.7416 * CHOOSE(CONTROL!$C$22, $C$13, 100%, $E$13)</f>
        <v>8.7416</v>
      </c>
      <c r="K488" s="64">
        <f>8.744 * CHOOSE(CONTROL!$C$22, $C$13, 100%, $E$13)</f>
        <v>8.7439999999999998</v>
      </c>
    </row>
    <row r="489" spans="1:11" ht="15">
      <c r="A489" s="13">
        <v>56523</v>
      </c>
      <c r="B489" s="63">
        <f>7.5554 * CHOOSE(CONTROL!$C$22, $C$13, 100%, $E$13)</f>
        <v>7.5553999999999997</v>
      </c>
      <c r="C489" s="63">
        <f>7.5554 * CHOOSE(CONTROL!$C$22, $C$13, 100%, $E$13)</f>
        <v>7.5553999999999997</v>
      </c>
      <c r="D489" s="63">
        <f>7.5753 * CHOOSE(CONTROL!$C$22, $C$13, 100%, $E$13)</f>
        <v>7.5753000000000004</v>
      </c>
      <c r="E489" s="64">
        <f>8.768 * CHOOSE(CONTROL!$C$22, $C$13, 100%, $E$13)</f>
        <v>8.7680000000000007</v>
      </c>
      <c r="F489" s="64">
        <f>8.768 * CHOOSE(CONTROL!$C$22, $C$13, 100%, $E$13)</f>
        <v>8.7680000000000007</v>
      </c>
      <c r="G489" s="64">
        <f>8.7682 * CHOOSE(CONTROL!$C$22, $C$13, 100%, $E$13)</f>
        <v>8.7682000000000002</v>
      </c>
      <c r="H489" s="64">
        <f>15.0841* CHOOSE(CONTROL!$C$22, $C$13, 100%, $E$13)</f>
        <v>15.084099999999999</v>
      </c>
      <c r="I489" s="64">
        <f>15.0842 * CHOOSE(CONTROL!$C$22, $C$13, 100%, $E$13)</f>
        <v>15.084199999999999</v>
      </c>
      <c r="J489" s="64">
        <f>8.768 * CHOOSE(CONTROL!$C$22, $C$13, 100%, $E$13)</f>
        <v>8.7680000000000007</v>
      </c>
      <c r="K489" s="64">
        <f>8.7682 * CHOOSE(CONTROL!$C$22, $C$13, 100%, $E$13)</f>
        <v>8.7682000000000002</v>
      </c>
    </row>
    <row r="490" spans="1:11" ht="15">
      <c r="A490" s="13">
        <v>56554</v>
      </c>
      <c r="B490" s="63">
        <f>7.5584 * CHOOSE(CONTROL!$C$22, $C$13, 100%, $E$13)</f>
        <v>7.5583999999999998</v>
      </c>
      <c r="C490" s="63">
        <f>7.5584 * CHOOSE(CONTROL!$C$22, $C$13, 100%, $E$13)</f>
        <v>7.5583999999999998</v>
      </c>
      <c r="D490" s="63">
        <f>7.5784 * CHOOSE(CONTROL!$C$22, $C$13, 100%, $E$13)</f>
        <v>7.5784000000000002</v>
      </c>
      <c r="E490" s="64">
        <f>8.7901 * CHOOSE(CONTROL!$C$22, $C$13, 100%, $E$13)</f>
        <v>8.7901000000000007</v>
      </c>
      <c r="F490" s="64">
        <f>8.7901 * CHOOSE(CONTROL!$C$22, $C$13, 100%, $E$13)</f>
        <v>8.7901000000000007</v>
      </c>
      <c r="G490" s="64">
        <f>8.7902 * CHOOSE(CONTROL!$C$22, $C$13, 100%, $E$13)</f>
        <v>8.7902000000000005</v>
      </c>
      <c r="H490" s="64">
        <f>15.1155* CHOOSE(CONTROL!$C$22, $C$13, 100%, $E$13)</f>
        <v>15.115500000000001</v>
      </c>
      <c r="I490" s="64">
        <f>15.1157 * CHOOSE(CONTROL!$C$22, $C$13, 100%, $E$13)</f>
        <v>15.1157</v>
      </c>
      <c r="J490" s="64">
        <f>8.7901 * CHOOSE(CONTROL!$C$22, $C$13, 100%, $E$13)</f>
        <v>8.7901000000000007</v>
      </c>
      <c r="K490" s="64">
        <f>8.7902 * CHOOSE(CONTROL!$C$22, $C$13, 100%, $E$13)</f>
        <v>8.7902000000000005</v>
      </c>
    </row>
    <row r="491" spans="1:11" ht="15">
      <c r="A491" s="13">
        <v>56584</v>
      </c>
      <c r="B491" s="63">
        <f>7.5584 * CHOOSE(CONTROL!$C$22, $C$13, 100%, $E$13)</f>
        <v>7.5583999999999998</v>
      </c>
      <c r="C491" s="63">
        <f>7.5584 * CHOOSE(CONTROL!$C$22, $C$13, 100%, $E$13)</f>
        <v>7.5583999999999998</v>
      </c>
      <c r="D491" s="63">
        <f>7.5784 * CHOOSE(CONTROL!$C$22, $C$13, 100%, $E$13)</f>
        <v>7.5784000000000002</v>
      </c>
      <c r="E491" s="64">
        <f>8.7403 * CHOOSE(CONTROL!$C$22, $C$13, 100%, $E$13)</f>
        <v>8.7402999999999995</v>
      </c>
      <c r="F491" s="64">
        <f>8.7403 * CHOOSE(CONTROL!$C$22, $C$13, 100%, $E$13)</f>
        <v>8.7402999999999995</v>
      </c>
      <c r="G491" s="64">
        <f>8.7404 * CHOOSE(CONTROL!$C$22, $C$13, 100%, $E$13)</f>
        <v>8.7403999999999993</v>
      </c>
      <c r="H491" s="64">
        <f>15.147* CHOOSE(CONTROL!$C$22, $C$13, 100%, $E$13)</f>
        <v>15.147</v>
      </c>
      <c r="I491" s="64">
        <f>15.1472 * CHOOSE(CONTROL!$C$22, $C$13, 100%, $E$13)</f>
        <v>15.1472</v>
      </c>
      <c r="J491" s="64">
        <f>8.7403 * CHOOSE(CONTROL!$C$22, $C$13, 100%, $E$13)</f>
        <v>8.7402999999999995</v>
      </c>
      <c r="K491" s="64">
        <f>8.7404 * CHOOSE(CONTROL!$C$22, $C$13, 100%, $E$13)</f>
        <v>8.7403999999999993</v>
      </c>
    </row>
    <row r="492" spans="1:11" ht="15">
      <c r="A492" s="13">
        <v>56615</v>
      </c>
      <c r="B492" s="63">
        <f>7.6256 * CHOOSE(CONTROL!$C$22, $C$13, 100%, $E$13)</f>
        <v>7.6256000000000004</v>
      </c>
      <c r="C492" s="63">
        <f>7.6256 * CHOOSE(CONTROL!$C$22, $C$13, 100%, $E$13)</f>
        <v>7.6256000000000004</v>
      </c>
      <c r="D492" s="63">
        <f>7.6456 * CHOOSE(CONTROL!$C$22, $C$13, 100%, $E$13)</f>
        <v>7.6456</v>
      </c>
      <c r="E492" s="64">
        <f>8.8543 * CHOOSE(CONTROL!$C$22, $C$13, 100%, $E$13)</f>
        <v>8.8543000000000003</v>
      </c>
      <c r="F492" s="64">
        <f>8.8543 * CHOOSE(CONTROL!$C$22, $C$13, 100%, $E$13)</f>
        <v>8.8543000000000003</v>
      </c>
      <c r="G492" s="64">
        <f>8.8545 * CHOOSE(CONTROL!$C$22, $C$13, 100%, $E$13)</f>
        <v>8.8544999999999998</v>
      </c>
      <c r="H492" s="64">
        <f>15.1785* CHOOSE(CONTROL!$C$22, $C$13, 100%, $E$13)</f>
        <v>15.1785</v>
      </c>
      <c r="I492" s="64">
        <f>15.1787 * CHOOSE(CONTROL!$C$22, $C$13, 100%, $E$13)</f>
        <v>15.178699999999999</v>
      </c>
      <c r="J492" s="64">
        <f>8.8543 * CHOOSE(CONTROL!$C$22, $C$13, 100%, $E$13)</f>
        <v>8.8543000000000003</v>
      </c>
      <c r="K492" s="64">
        <f>8.8545 * CHOOSE(CONTROL!$C$22, $C$13, 100%, $E$13)</f>
        <v>8.8544999999999998</v>
      </c>
    </row>
    <row r="493" spans="1:11" ht="15">
      <c r="A493" s="13">
        <v>56646</v>
      </c>
      <c r="B493" s="63">
        <f>7.6226 * CHOOSE(CONTROL!$C$22, $C$13, 100%, $E$13)</f>
        <v>7.6226000000000003</v>
      </c>
      <c r="C493" s="63">
        <f>7.6226 * CHOOSE(CONTROL!$C$22, $C$13, 100%, $E$13)</f>
        <v>7.6226000000000003</v>
      </c>
      <c r="D493" s="63">
        <f>7.6425 * CHOOSE(CONTROL!$C$22, $C$13, 100%, $E$13)</f>
        <v>7.6425000000000001</v>
      </c>
      <c r="E493" s="64">
        <f>8.7555 * CHOOSE(CONTROL!$C$22, $C$13, 100%, $E$13)</f>
        <v>8.7554999999999996</v>
      </c>
      <c r="F493" s="64">
        <f>8.7555 * CHOOSE(CONTROL!$C$22, $C$13, 100%, $E$13)</f>
        <v>8.7554999999999996</v>
      </c>
      <c r="G493" s="64">
        <f>8.7557 * CHOOSE(CONTROL!$C$22, $C$13, 100%, $E$13)</f>
        <v>8.7556999999999992</v>
      </c>
      <c r="H493" s="64">
        <f>15.2102* CHOOSE(CONTROL!$C$22, $C$13, 100%, $E$13)</f>
        <v>15.2102</v>
      </c>
      <c r="I493" s="64">
        <f>15.2103 * CHOOSE(CONTROL!$C$22, $C$13, 100%, $E$13)</f>
        <v>15.2103</v>
      </c>
      <c r="J493" s="64">
        <f>8.7555 * CHOOSE(CONTROL!$C$22, $C$13, 100%, $E$13)</f>
        <v>8.7554999999999996</v>
      </c>
      <c r="K493" s="64">
        <f>8.7557 * CHOOSE(CONTROL!$C$22, $C$13, 100%, $E$13)</f>
        <v>8.7556999999999992</v>
      </c>
    </row>
    <row r="494" spans="1:11" ht="15">
      <c r="A494" s="13">
        <v>56674</v>
      </c>
      <c r="B494" s="63">
        <f>7.6195 * CHOOSE(CONTROL!$C$22, $C$13, 100%, $E$13)</f>
        <v>7.6195000000000004</v>
      </c>
      <c r="C494" s="63">
        <f>7.6195 * CHOOSE(CONTROL!$C$22, $C$13, 100%, $E$13)</f>
        <v>7.6195000000000004</v>
      </c>
      <c r="D494" s="63">
        <f>7.6395 * CHOOSE(CONTROL!$C$22, $C$13, 100%, $E$13)</f>
        <v>7.6395</v>
      </c>
      <c r="E494" s="64">
        <f>8.8296 * CHOOSE(CONTROL!$C$22, $C$13, 100%, $E$13)</f>
        <v>8.8295999999999992</v>
      </c>
      <c r="F494" s="64">
        <f>8.8296 * CHOOSE(CONTROL!$C$22, $C$13, 100%, $E$13)</f>
        <v>8.8295999999999992</v>
      </c>
      <c r="G494" s="64">
        <f>8.8298 * CHOOSE(CONTROL!$C$22, $C$13, 100%, $E$13)</f>
        <v>8.8298000000000005</v>
      </c>
      <c r="H494" s="64">
        <f>15.2419* CHOOSE(CONTROL!$C$22, $C$13, 100%, $E$13)</f>
        <v>15.241899999999999</v>
      </c>
      <c r="I494" s="64">
        <f>15.242 * CHOOSE(CONTROL!$C$22, $C$13, 100%, $E$13)</f>
        <v>15.242000000000001</v>
      </c>
      <c r="J494" s="64">
        <f>8.8296 * CHOOSE(CONTROL!$C$22, $C$13, 100%, $E$13)</f>
        <v>8.8295999999999992</v>
      </c>
      <c r="K494" s="64">
        <f>8.8298 * CHOOSE(CONTROL!$C$22, $C$13, 100%, $E$13)</f>
        <v>8.8298000000000005</v>
      </c>
    </row>
    <row r="495" spans="1:11" ht="15">
      <c r="A495" s="13">
        <v>56705</v>
      </c>
      <c r="B495" s="63">
        <f>7.6204 * CHOOSE(CONTROL!$C$22, $C$13, 100%, $E$13)</f>
        <v>7.6204000000000001</v>
      </c>
      <c r="C495" s="63">
        <f>7.6204 * CHOOSE(CONTROL!$C$22, $C$13, 100%, $E$13)</f>
        <v>7.6204000000000001</v>
      </c>
      <c r="D495" s="63">
        <f>7.6403 * CHOOSE(CONTROL!$C$22, $C$13, 100%, $E$13)</f>
        <v>7.6402999999999999</v>
      </c>
      <c r="E495" s="64">
        <f>8.9073 * CHOOSE(CONTROL!$C$22, $C$13, 100%, $E$13)</f>
        <v>8.9072999999999993</v>
      </c>
      <c r="F495" s="64">
        <f>8.9073 * CHOOSE(CONTROL!$C$22, $C$13, 100%, $E$13)</f>
        <v>8.9072999999999993</v>
      </c>
      <c r="G495" s="64">
        <f>8.9075 * CHOOSE(CONTROL!$C$22, $C$13, 100%, $E$13)</f>
        <v>8.9075000000000006</v>
      </c>
      <c r="H495" s="64">
        <f>15.2736* CHOOSE(CONTROL!$C$22, $C$13, 100%, $E$13)</f>
        <v>15.2736</v>
      </c>
      <c r="I495" s="64">
        <f>15.2738 * CHOOSE(CONTROL!$C$22, $C$13, 100%, $E$13)</f>
        <v>15.2738</v>
      </c>
      <c r="J495" s="64">
        <f>8.9073 * CHOOSE(CONTROL!$C$22, $C$13, 100%, $E$13)</f>
        <v>8.9072999999999993</v>
      </c>
      <c r="K495" s="64">
        <f>8.9075 * CHOOSE(CONTROL!$C$22, $C$13, 100%, $E$13)</f>
        <v>8.9075000000000006</v>
      </c>
    </row>
    <row r="496" spans="1:11" ht="15">
      <c r="A496" s="13">
        <v>56735</v>
      </c>
      <c r="B496" s="63">
        <f>7.6204 * CHOOSE(CONTROL!$C$22, $C$13, 100%, $E$13)</f>
        <v>7.6204000000000001</v>
      </c>
      <c r="C496" s="63">
        <f>7.6204 * CHOOSE(CONTROL!$C$22, $C$13, 100%, $E$13)</f>
        <v>7.6204000000000001</v>
      </c>
      <c r="D496" s="63">
        <f>7.6603 * CHOOSE(CONTROL!$C$22, $C$13, 100%, $E$13)</f>
        <v>7.6603000000000003</v>
      </c>
      <c r="E496" s="64">
        <f>8.938 * CHOOSE(CONTROL!$C$22, $C$13, 100%, $E$13)</f>
        <v>8.9380000000000006</v>
      </c>
      <c r="F496" s="64">
        <f>8.938 * CHOOSE(CONTROL!$C$22, $C$13, 100%, $E$13)</f>
        <v>8.9380000000000006</v>
      </c>
      <c r="G496" s="64">
        <f>8.9405 * CHOOSE(CONTROL!$C$22, $C$13, 100%, $E$13)</f>
        <v>8.9405000000000001</v>
      </c>
      <c r="H496" s="64">
        <f>15.3054* CHOOSE(CONTROL!$C$22, $C$13, 100%, $E$13)</f>
        <v>15.305400000000001</v>
      </c>
      <c r="I496" s="64">
        <f>15.3079 * CHOOSE(CONTROL!$C$22, $C$13, 100%, $E$13)</f>
        <v>15.3079</v>
      </c>
      <c r="J496" s="64">
        <f>8.938 * CHOOSE(CONTROL!$C$22, $C$13, 100%, $E$13)</f>
        <v>8.9380000000000006</v>
      </c>
      <c r="K496" s="64">
        <f>8.9405 * CHOOSE(CONTROL!$C$22, $C$13, 100%, $E$13)</f>
        <v>8.9405000000000001</v>
      </c>
    </row>
    <row r="497" spans="1:11" ht="15">
      <c r="A497" s="13">
        <v>56766</v>
      </c>
      <c r="B497" s="63">
        <f>7.6264 * CHOOSE(CONTROL!$C$22, $C$13, 100%, $E$13)</f>
        <v>7.6264000000000003</v>
      </c>
      <c r="C497" s="63">
        <f>7.6264 * CHOOSE(CONTROL!$C$22, $C$13, 100%, $E$13)</f>
        <v>7.6264000000000003</v>
      </c>
      <c r="D497" s="63">
        <f>7.6664 * CHOOSE(CONTROL!$C$22, $C$13, 100%, $E$13)</f>
        <v>7.6664000000000003</v>
      </c>
      <c r="E497" s="64">
        <f>8.9115 * CHOOSE(CONTROL!$C$22, $C$13, 100%, $E$13)</f>
        <v>8.9115000000000002</v>
      </c>
      <c r="F497" s="64">
        <f>8.9115 * CHOOSE(CONTROL!$C$22, $C$13, 100%, $E$13)</f>
        <v>8.9115000000000002</v>
      </c>
      <c r="G497" s="64">
        <f>8.914 * CHOOSE(CONTROL!$C$22, $C$13, 100%, $E$13)</f>
        <v>8.9139999999999997</v>
      </c>
      <c r="H497" s="64">
        <f>15.3373* CHOOSE(CONTROL!$C$22, $C$13, 100%, $E$13)</f>
        <v>15.337300000000001</v>
      </c>
      <c r="I497" s="64">
        <f>15.3398 * CHOOSE(CONTROL!$C$22, $C$13, 100%, $E$13)</f>
        <v>15.3398</v>
      </c>
      <c r="J497" s="64">
        <f>8.9115 * CHOOSE(CONTROL!$C$22, $C$13, 100%, $E$13)</f>
        <v>8.9115000000000002</v>
      </c>
      <c r="K497" s="64">
        <f>8.914 * CHOOSE(CONTROL!$C$22, $C$13, 100%, $E$13)</f>
        <v>8.9139999999999997</v>
      </c>
    </row>
    <row r="498" spans="1:11" ht="15">
      <c r="A498" s="13">
        <v>56796</v>
      </c>
      <c r="B498" s="63">
        <f>7.7506 * CHOOSE(CONTROL!$C$22, $C$13, 100%, $E$13)</f>
        <v>7.7506000000000004</v>
      </c>
      <c r="C498" s="63">
        <f>7.7506 * CHOOSE(CONTROL!$C$22, $C$13, 100%, $E$13)</f>
        <v>7.7506000000000004</v>
      </c>
      <c r="D498" s="63">
        <f>7.7905 * CHOOSE(CONTROL!$C$22, $C$13, 100%, $E$13)</f>
        <v>7.7904999999999998</v>
      </c>
      <c r="E498" s="64">
        <f>9.0859 * CHOOSE(CONTROL!$C$22, $C$13, 100%, $E$13)</f>
        <v>9.0859000000000005</v>
      </c>
      <c r="F498" s="64">
        <f>9.0859 * CHOOSE(CONTROL!$C$22, $C$13, 100%, $E$13)</f>
        <v>9.0859000000000005</v>
      </c>
      <c r="G498" s="64">
        <f>9.0883 * CHOOSE(CONTROL!$C$22, $C$13, 100%, $E$13)</f>
        <v>9.0883000000000003</v>
      </c>
      <c r="H498" s="64">
        <f>15.3693* CHOOSE(CONTROL!$C$22, $C$13, 100%, $E$13)</f>
        <v>15.369300000000001</v>
      </c>
      <c r="I498" s="64">
        <f>15.3717 * CHOOSE(CONTROL!$C$22, $C$13, 100%, $E$13)</f>
        <v>15.371700000000001</v>
      </c>
      <c r="J498" s="64">
        <f>9.0859 * CHOOSE(CONTROL!$C$22, $C$13, 100%, $E$13)</f>
        <v>9.0859000000000005</v>
      </c>
      <c r="K498" s="64">
        <f>9.0883 * CHOOSE(CONTROL!$C$22, $C$13, 100%, $E$13)</f>
        <v>9.0883000000000003</v>
      </c>
    </row>
    <row r="499" spans="1:11" ht="15">
      <c r="A499" s="13">
        <v>56827</v>
      </c>
      <c r="B499" s="63">
        <f>7.7573 * CHOOSE(CONTROL!$C$22, $C$13, 100%, $E$13)</f>
        <v>7.7572999999999999</v>
      </c>
      <c r="C499" s="63">
        <f>7.7573 * CHOOSE(CONTROL!$C$22, $C$13, 100%, $E$13)</f>
        <v>7.7572999999999999</v>
      </c>
      <c r="D499" s="63">
        <f>7.7972 * CHOOSE(CONTROL!$C$22, $C$13, 100%, $E$13)</f>
        <v>7.7972000000000001</v>
      </c>
      <c r="E499" s="64">
        <f>8.9984 * CHOOSE(CONTROL!$C$22, $C$13, 100%, $E$13)</f>
        <v>8.9984000000000002</v>
      </c>
      <c r="F499" s="64">
        <f>8.9984 * CHOOSE(CONTROL!$C$22, $C$13, 100%, $E$13)</f>
        <v>8.9984000000000002</v>
      </c>
      <c r="G499" s="64">
        <f>9.0008 * CHOOSE(CONTROL!$C$22, $C$13, 100%, $E$13)</f>
        <v>9.0007999999999999</v>
      </c>
      <c r="H499" s="64">
        <f>15.4013* CHOOSE(CONTROL!$C$22, $C$13, 100%, $E$13)</f>
        <v>15.401300000000001</v>
      </c>
      <c r="I499" s="64">
        <f>15.4037 * CHOOSE(CONTROL!$C$22, $C$13, 100%, $E$13)</f>
        <v>15.403700000000001</v>
      </c>
      <c r="J499" s="64">
        <f>8.9984 * CHOOSE(CONTROL!$C$22, $C$13, 100%, $E$13)</f>
        <v>8.9984000000000002</v>
      </c>
      <c r="K499" s="64">
        <f>9.0008 * CHOOSE(CONTROL!$C$22, $C$13, 100%, $E$13)</f>
        <v>9.0007999999999999</v>
      </c>
    </row>
    <row r="500" spans="1:11" ht="15">
      <c r="A500" s="13">
        <v>56858</v>
      </c>
      <c r="B500" s="63">
        <f>7.7542 * CHOOSE(CONTROL!$C$22, $C$13, 100%, $E$13)</f>
        <v>7.7542</v>
      </c>
      <c r="C500" s="63">
        <f>7.7542 * CHOOSE(CONTROL!$C$22, $C$13, 100%, $E$13)</f>
        <v>7.7542</v>
      </c>
      <c r="D500" s="63">
        <f>7.7941 * CHOOSE(CONTROL!$C$22, $C$13, 100%, $E$13)</f>
        <v>7.7941000000000003</v>
      </c>
      <c r="E500" s="64">
        <f>8.986 * CHOOSE(CONTROL!$C$22, $C$13, 100%, $E$13)</f>
        <v>8.9860000000000007</v>
      </c>
      <c r="F500" s="64">
        <f>8.986 * CHOOSE(CONTROL!$C$22, $C$13, 100%, $E$13)</f>
        <v>8.9860000000000007</v>
      </c>
      <c r="G500" s="64">
        <f>8.9884 * CHOOSE(CONTROL!$C$22, $C$13, 100%, $E$13)</f>
        <v>8.9884000000000004</v>
      </c>
      <c r="H500" s="64">
        <f>15.4334* CHOOSE(CONTROL!$C$22, $C$13, 100%, $E$13)</f>
        <v>15.433400000000001</v>
      </c>
      <c r="I500" s="64">
        <f>15.4358 * CHOOSE(CONTROL!$C$22, $C$13, 100%, $E$13)</f>
        <v>15.4358</v>
      </c>
      <c r="J500" s="64">
        <f>8.986 * CHOOSE(CONTROL!$C$22, $C$13, 100%, $E$13)</f>
        <v>8.9860000000000007</v>
      </c>
      <c r="K500" s="64">
        <f>8.9884 * CHOOSE(CONTROL!$C$22, $C$13, 100%, $E$13)</f>
        <v>8.9884000000000004</v>
      </c>
    </row>
    <row r="501" spans="1:11" ht="15">
      <c r="A501" s="13">
        <v>56888</v>
      </c>
      <c r="B501" s="63">
        <f>7.762 * CHOOSE(CONTROL!$C$22, $C$13, 100%, $E$13)</f>
        <v>7.7619999999999996</v>
      </c>
      <c r="C501" s="63">
        <f>7.762 * CHOOSE(CONTROL!$C$22, $C$13, 100%, $E$13)</f>
        <v>7.7619999999999996</v>
      </c>
      <c r="D501" s="63">
        <f>7.7819 * CHOOSE(CONTROL!$C$22, $C$13, 100%, $E$13)</f>
        <v>7.7819000000000003</v>
      </c>
      <c r="E501" s="64">
        <f>9.0135 * CHOOSE(CONTROL!$C$22, $C$13, 100%, $E$13)</f>
        <v>9.0135000000000005</v>
      </c>
      <c r="F501" s="64">
        <f>9.0135 * CHOOSE(CONTROL!$C$22, $C$13, 100%, $E$13)</f>
        <v>9.0135000000000005</v>
      </c>
      <c r="G501" s="64">
        <f>9.0137 * CHOOSE(CONTROL!$C$22, $C$13, 100%, $E$13)</f>
        <v>9.0137</v>
      </c>
      <c r="H501" s="64">
        <f>15.4655* CHOOSE(CONTROL!$C$22, $C$13, 100%, $E$13)</f>
        <v>15.4655</v>
      </c>
      <c r="I501" s="64">
        <f>15.4657 * CHOOSE(CONTROL!$C$22, $C$13, 100%, $E$13)</f>
        <v>15.4657</v>
      </c>
      <c r="J501" s="64">
        <f>9.0135 * CHOOSE(CONTROL!$C$22, $C$13, 100%, $E$13)</f>
        <v>9.0135000000000005</v>
      </c>
      <c r="K501" s="64">
        <f>9.0137 * CHOOSE(CONTROL!$C$22, $C$13, 100%, $E$13)</f>
        <v>9.0137</v>
      </c>
    </row>
    <row r="502" spans="1:11" ht="15">
      <c r="A502" s="13">
        <v>56919</v>
      </c>
      <c r="B502" s="63">
        <f>7.765 * CHOOSE(CONTROL!$C$22, $C$13, 100%, $E$13)</f>
        <v>7.7649999999999997</v>
      </c>
      <c r="C502" s="63">
        <f>7.765 * CHOOSE(CONTROL!$C$22, $C$13, 100%, $E$13)</f>
        <v>7.7649999999999997</v>
      </c>
      <c r="D502" s="63">
        <f>7.785 * CHOOSE(CONTROL!$C$22, $C$13, 100%, $E$13)</f>
        <v>7.7850000000000001</v>
      </c>
      <c r="E502" s="64">
        <f>9.0361 * CHOOSE(CONTROL!$C$22, $C$13, 100%, $E$13)</f>
        <v>9.0360999999999994</v>
      </c>
      <c r="F502" s="64">
        <f>9.0361 * CHOOSE(CONTROL!$C$22, $C$13, 100%, $E$13)</f>
        <v>9.0360999999999994</v>
      </c>
      <c r="G502" s="64">
        <f>9.0363 * CHOOSE(CONTROL!$C$22, $C$13, 100%, $E$13)</f>
        <v>9.0363000000000007</v>
      </c>
      <c r="H502" s="64">
        <f>15.4977* CHOOSE(CONTROL!$C$22, $C$13, 100%, $E$13)</f>
        <v>15.4977</v>
      </c>
      <c r="I502" s="64">
        <f>15.4979 * CHOOSE(CONTROL!$C$22, $C$13, 100%, $E$13)</f>
        <v>15.4979</v>
      </c>
      <c r="J502" s="64">
        <f>9.0361 * CHOOSE(CONTROL!$C$22, $C$13, 100%, $E$13)</f>
        <v>9.0360999999999994</v>
      </c>
      <c r="K502" s="64">
        <f>9.0363 * CHOOSE(CONTROL!$C$22, $C$13, 100%, $E$13)</f>
        <v>9.0363000000000007</v>
      </c>
    </row>
    <row r="503" spans="1:11" ht="15">
      <c r="A503" s="13">
        <v>56949</v>
      </c>
      <c r="B503" s="63">
        <f>7.765 * CHOOSE(CONTROL!$C$22, $C$13, 100%, $E$13)</f>
        <v>7.7649999999999997</v>
      </c>
      <c r="C503" s="63">
        <f>7.765 * CHOOSE(CONTROL!$C$22, $C$13, 100%, $E$13)</f>
        <v>7.7649999999999997</v>
      </c>
      <c r="D503" s="63">
        <f>7.785 * CHOOSE(CONTROL!$C$22, $C$13, 100%, $E$13)</f>
        <v>7.7850000000000001</v>
      </c>
      <c r="E503" s="64">
        <f>8.9849 * CHOOSE(CONTROL!$C$22, $C$13, 100%, $E$13)</f>
        <v>8.9848999999999997</v>
      </c>
      <c r="F503" s="64">
        <f>8.9849 * CHOOSE(CONTROL!$C$22, $C$13, 100%, $E$13)</f>
        <v>8.9848999999999997</v>
      </c>
      <c r="G503" s="64">
        <f>8.9851 * CHOOSE(CONTROL!$C$22, $C$13, 100%, $E$13)</f>
        <v>8.9850999999999992</v>
      </c>
      <c r="H503" s="64">
        <f>15.53* CHOOSE(CONTROL!$C$22, $C$13, 100%, $E$13)</f>
        <v>15.53</v>
      </c>
      <c r="I503" s="64">
        <f>15.5302 * CHOOSE(CONTROL!$C$22, $C$13, 100%, $E$13)</f>
        <v>15.530200000000001</v>
      </c>
      <c r="J503" s="64">
        <f>8.9849 * CHOOSE(CONTROL!$C$22, $C$13, 100%, $E$13)</f>
        <v>8.9848999999999997</v>
      </c>
      <c r="K503" s="64">
        <f>8.9851 * CHOOSE(CONTROL!$C$22, $C$13, 100%, $E$13)</f>
        <v>8.9850999999999992</v>
      </c>
    </row>
    <row r="504" spans="1:11" ht="15">
      <c r="A504" s="13">
        <v>56980</v>
      </c>
      <c r="B504" s="63">
        <f>7.8339 * CHOOSE(CONTROL!$C$22, $C$13, 100%, $E$13)</f>
        <v>7.8338999999999999</v>
      </c>
      <c r="C504" s="63">
        <f>7.8339 * CHOOSE(CONTROL!$C$22, $C$13, 100%, $E$13)</f>
        <v>7.8338999999999999</v>
      </c>
      <c r="D504" s="63">
        <f>7.8539 * CHOOSE(CONTROL!$C$22, $C$13, 100%, $E$13)</f>
        <v>7.8539000000000003</v>
      </c>
      <c r="E504" s="64">
        <f>9.1021 * CHOOSE(CONTROL!$C$22, $C$13, 100%, $E$13)</f>
        <v>9.1021000000000001</v>
      </c>
      <c r="F504" s="64">
        <f>9.1021 * CHOOSE(CONTROL!$C$22, $C$13, 100%, $E$13)</f>
        <v>9.1021000000000001</v>
      </c>
      <c r="G504" s="64">
        <f>9.1023 * CHOOSE(CONTROL!$C$22, $C$13, 100%, $E$13)</f>
        <v>9.1022999999999996</v>
      </c>
      <c r="H504" s="64">
        <f>15.5624* CHOOSE(CONTROL!$C$22, $C$13, 100%, $E$13)</f>
        <v>15.5624</v>
      </c>
      <c r="I504" s="64">
        <f>15.5626 * CHOOSE(CONTROL!$C$22, $C$13, 100%, $E$13)</f>
        <v>15.5626</v>
      </c>
      <c r="J504" s="64">
        <f>9.1021 * CHOOSE(CONTROL!$C$22, $C$13, 100%, $E$13)</f>
        <v>9.1021000000000001</v>
      </c>
      <c r="K504" s="64">
        <f>9.1023 * CHOOSE(CONTROL!$C$22, $C$13, 100%, $E$13)</f>
        <v>9.1022999999999996</v>
      </c>
    </row>
    <row r="505" spans="1:11" ht="15">
      <c r="A505" s="13">
        <v>57011</v>
      </c>
      <c r="B505" s="63">
        <f>7.8309 * CHOOSE(CONTROL!$C$22, $C$13, 100%, $E$13)</f>
        <v>7.8308999999999997</v>
      </c>
      <c r="C505" s="63">
        <f>7.8309 * CHOOSE(CONTROL!$C$22, $C$13, 100%, $E$13)</f>
        <v>7.8308999999999997</v>
      </c>
      <c r="D505" s="63">
        <f>7.8509 * CHOOSE(CONTROL!$C$22, $C$13, 100%, $E$13)</f>
        <v>7.8509000000000002</v>
      </c>
      <c r="E505" s="64">
        <f>9.0005 * CHOOSE(CONTROL!$C$22, $C$13, 100%, $E$13)</f>
        <v>9.0005000000000006</v>
      </c>
      <c r="F505" s="64">
        <f>9.0005 * CHOOSE(CONTROL!$C$22, $C$13, 100%, $E$13)</f>
        <v>9.0005000000000006</v>
      </c>
      <c r="G505" s="64">
        <f>9.0007 * CHOOSE(CONTROL!$C$22, $C$13, 100%, $E$13)</f>
        <v>9.0007000000000001</v>
      </c>
      <c r="H505" s="64">
        <f>15.5948* CHOOSE(CONTROL!$C$22, $C$13, 100%, $E$13)</f>
        <v>15.594799999999999</v>
      </c>
      <c r="I505" s="64">
        <f>15.595 * CHOOSE(CONTROL!$C$22, $C$13, 100%, $E$13)</f>
        <v>15.595000000000001</v>
      </c>
      <c r="J505" s="64">
        <f>9.0005 * CHOOSE(CONTROL!$C$22, $C$13, 100%, $E$13)</f>
        <v>9.0005000000000006</v>
      </c>
      <c r="K505" s="64">
        <f>9.0007 * CHOOSE(CONTROL!$C$22, $C$13, 100%, $E$13)</f>
        <v>9.0007000000000001</v>
      </c>
    </row>
    <row r="506" spans="1:11" ht="15">
      <c r="A506" s="13">
        <v>57040</v>
      </c>
      <c r="B506" s="63">
        <f>7.8279 * CHOOSE(CONTROL!$C$22, $C$13, 100%, $E$13)</f>
        <v>7.8278999999999996</v>
      </c>
      <c r="C506" s="63">
        <f>7.8279 * CHOOSE(CONTROL!$C$22, $C$13, 100%, $E$13)</f>
        <v>7.8278999999999996</v>
      </c>
      <c r="D506" s="63">
        <f>7.8478 * CHOOSE(CONTROL!$C$22, $C$13, 100%, $E$13)</f>
        <v>7.8478000000000003</v>
      </c>
      <c r="E506" s="64">
        <f>9.0768 * CHOOSE(CONTROL!$C$22, $C$13, 100%, $E$13)</f>
        <v>9.0768000000000004</v>
      </c>
      <c r="F506" s="64">
        <f>9.0768 * CHOOSE(CONTROL!$C$22, $C$13, 100%, $E$13)</f>
        <v>9.0768000000000004</v>
      </c>
      <c r="G506" s="64">
        <f>9.077 * CHOOSE(CONTROL!$C$22, $C$13, 100%, $E$13)</f>
        <v>9.077</v>
      </c>
      <c r="H506" s="64">
        <f>15.6273* CHOOSE(CONTROL!$C$22, $C$13, 100%, $E$13)</f>
        <v>15.6273</v>
      </c>
      <c r="I506" s="64">
        <f>15.6275 * CHOOSE(CONTROL!$C$22, $C$13, 100%, $E$13)</f>
        <v>15.6275</v>
      </c>
      <c r="J506" s="64">
        <f>9.0768 * CHOOSE(CONTROL!$C$22, $C$13, 100%, $E$13)</f>
        <v>9.0768000000000004</v>
      </c>
      <c r="K506" s="64">
        <f>9.077 * CHOOSE(CONTROL!$C$22, $C$13, 100%, $E$13)</f>
        <v>9.077</v>
      </c>
    </row>
    <row r="507" spans="1:11" ht="15">
      <c r="A507" s="13">
        <v>57071</v>
      </c>
      <c r="B507" s="63">
        <f>7.8289 * CHOOSE(CONTROL!$C$22, $C$13, 100%, $E$13)</f>
        <v>7.8289</v>
      </c>
      <c r="C507" s="63">
        <f>7.8289 * CHOOSE(CONTROL!$C$22, $C$13, 100%, $E$13)</f>
        <v>7.8289</v>
      </c>
      <c r="D507" s="63">
        <f>7.8488 * CHOOSE(CONTROL!$C$22, $C$13, 100%, $E$13)</f>
        <v>7.8487999999999998</v>
      </c>
      <c r="E507" s="64">
        <f>9.1568 * CHOOSE(CONTROL!$C$22, $C$13, 100%, $E$13)</f>
        <v>9.1568000000000005</v>
      </c>
      <c r="F507" s="64">
        <f>9.1568 * CHOOSE(CONTROL!$C$22, $C$13, 100%, $E$13)</f>
        <v>9.1568000000000005</v>
      </c>
      <c r="G507" s="64">
        <f>9.157 * CHOOSE(CONTROL!$C$22, $C$13, 100%, $E$13)</f>
        <v>9.157</v>
      </c>
      <c r="H507" s="64">
        <f>15.6599* CHOOSE(CONTROL!$C$22, $C$13, 100%, $E$13)</f>
        <v>15.6599</v>
      </c>
      <c r="I507" s="64">
        <f>15.66 * CHOOSE(CONTROL!$C$22, $C$13, 100%, $E$13)</f>
        <v>15.66</v>
      </c>
      <c r="J507" s="64">
        <f>9.1568 * CHOOSE(CONTROL!$C$22, $C$13, 100%, $E$13)</f>
        <v>9.1568000000000005</v>
      </c>
      <c r="K507" s="64">
        <f>9.157 * CHOOSE(CONTROL!$C$22, $C$13, 100%, $E$13)</f>
        <v>9.157</v>
      </c>
    </row>
    <row r="508" spans="1:11" ht="15">
      <c r="A508" s="13">
        <v>57101</v>
      </c>
      <c r="B508" s="63">
        <f>7.8289 * CHOOSE(CONTROL!$C$22, $C$13, 100%, $E$13)</f>
        <v>7.8289</v>
      </c>
      <c r="C508" s="63">
        <f>7.8289 * CHOOSE(CONTROL!$C$22, $C$13, 100%, $E$13)</f>
        <v>7.8289</v>
      </c>
      <c r="D508" s="63">
        <f>7.8688 * CHOOSE(CONTROL!$C$22, $C$13, 100%, $E$13)</f>
        <v>7.8688000000000002</v>
      </c>
      <c r="E508" s="64">
        <f>9.1884 * CHOOSE(CONTROL!$C$22, $C$13, 100%, $E$13)</f>
        <v>9.1883999999999997</v>
      </c>
      <c r="F508" s="64">
        <f>9.1884 * CHOOSE(CONTROL!$C$22, $C$13, 100%, $E$13)</f>
        <v>9.1883999999999997</v>
      </c>
      <c r="G508" s="64">
        <f>9.1908 * CHOOSE(CONTROL!$C$22, $C$13, 100%, $E$13)</f>
        <v>9.1907999999999994</v>
      </c>
      <c r="H508" s="64">
        <f>15.6925* CHOOSE(CONTROL!$C$22, $C$13, 100%, $E$13)</f>
        <v>15.692500000000001</v>
      </c>
      <c r="I508" s="64">
        <f>15.6949 * CHOOSE(CONTROL!$C$22, $C$13, 100%, $E$13)</f>
        <v>15.694900000000001</v>
      </c>
      <c r="J508" s="64">
        <f>9.1884 * CHOOSE(CONTROL!$C$22, $C$13, 100%, $E$13)</f>
        <v>9.1883999999999997</v>
      </c>
      <c r="K508" s="64">
        <f>9.1908 * CHOOSE(CONTROL!$C$22, $C$13, 100%, $E$13)</f>
        <v>9.1907999999999994</v>
      </c>
    </row>
    <row r="509" spans="1:11" ht="15">
      <c r="A509" s="13">
        <v>57132</v>
      </c>
      <c r="B509" s="63">
        <f>7.835 * CHOOSE(CONTROL!$C$22, $C$13, 100%, $E$13)</f>
        <v>7.835</v>
      </c>
      <c r="C509" s="63">
        <f>7.835 * CHOOSE(CONTROL!$C$22, $C$13, 100%, $E$13)</f>
        <v>7.835</v>
      </c>
      <c r="D509" s="63">
        <f>7.8749 * CHOOSE(CONTROL!$C$22, $C$13, 100%, $E$13)</f>
        <v>7.8749000000000002</v>
      </c>
      <c r="E509" s="64">
        <f>9.1611 * CHOOSE(CONTROL!$C$22, $C$13, 100%, $E$13)</f>
        <v>9.1610999999999994</v>
      </c>
      <c r="F509" s="64">
        <f>9.1611 * CHOOSE(CONTROL!$C$22, $C$13, 100%, $E$13)</f>
        <v>9.1610999999999994</v>
      </c>
      <c r="G509" s="64">
        <f>9.1635 * CHOOSE(CONTROL!$C$22, $C$13, 100%, $E$13)</f>
        <v>9.1635000000000009</v>
      </c>
      <c r="H509" s="64">
        <f>15.7252* CHOOSE(CONTROL!$C$22, $C$13, 100%, $E$13)</f>
        <v>15.725199999999999</v>
      </c>
      <c r="I509" s="64">
        <f>15.7276 * CHOOSE(CONTROL!$C$22, $C$13, 100%, $E$13)</f>
        <v>15.727600000000001</v>
      </c>
      <c r="J509" s="64">
        <f>9.1611 * CHOOSE(CONTROL!$C$22, $C$13, 100%, $E$13)</f>
        <v>9.1610999999999994</v>
      </c>
      <c r="K509" s="64">
        <f>9.1635 * CHOOSE(CONTROL!$C$22, $C$13, 100%, $E$13)</f>
        <v>9.1635000000000009</v>
      </c>
    </row>
    <row r="510" spans="1:11" ht="15">
      <c r="A510" s="13">
        <v>57162</v>
      </c>
      <c r="B510" s="63">
        <f>7.9622 * CHOOSE(CONTROL!$C$22, $C$13, 100%, $E$13)</f>
        <v>7.9622000000000002</v>
      </c>
      <c r="C510" s="63">
        <f>7.9622 * CHOOSE(CONTROL!$C$22, $C$13, 100%, $E$13)</f>
        <v>7.9622000000000002</v>
      </c>
      <c r="D510" s="63">
        <f>8.0021 * CHOOSE(CONTROL!$C$22, $C$13, 100%, $E$13)</f>
        <v>8.0021000000000004</v>
      </c>
      <c r="E510" s="64">
        <f>9.34 * CHOOSE(CONTROL!$C$22, $C$13, 100%, $E$13)</f>
        <v>9.34</v>
      </c>
      <c r="F510" s="64">
        <f>9.34 * CHOOSE(CONTROL!$C$22, $C$13, 100%, $E$13)</f>
        <v>9.34</v>
      </c>
      <c r="G510" s="64">
        <f>9.3424 * CHOOSE(CONTROL!$C$22, $C$13, 100%, $E$13)</f>
        <v>9.3423999999999996</v>
      </c>
      <c r="H510" s="64">
        <f>15.7579* CHOOSE(CONTROL!$C$22, $C$13, 100%, $E$13)</f>
        <v>15.757899999999999</v>
      </c>
      <c r="I510" s="64">
        <f>15.7604 * CHOOSE(CONTROL!$C$22, $C$13, 100%, $E$13)</f>
        <v>15.760400000000001</v>
      </c>
      <c r="J510" s="64">
        <f>9.34 * CHOOSE(CONTROL!$C$22, $C$13, 100%, $E$13)</f>
        <v>9.34</v>
      </c>
      <c r="K510" s="64">
        <f>9.3424 * CHOOSE(CONTROL!$C$22, $C$13, 100%, $E$13)</f>
        <v>9.3423999999999996</v>
      </c>
    </row>
    <row r="511" spans="1:11" ht="15">
      <c r="A511" s="13">
        <v>57193</v>
      </c>
      <c r="B511" s="63">
        <f>7.9689 * CHOOSE(CONTROL!$C$22, $C$13, 100%, $E$13)</f>
        <v>7.9688999999999997</v>
      </c>
      <c r="C511" s="63">
        <f>7.9689 * CHOOSE(CONTROL!$C$22, $C$13, 100%, $E$13)</f>
        <v>7.9688999999999997</v>
      </c>
      <c r="D511" s="63">
        <f>8.0088 * CHOOSE(CONTROL!$C$22, $C$13, 100%, $E$13)</f>
        <v>8.0088000000000008</v>
      </c>
      <c r="E511" s="64">
        <f>9.2499 * CHOOSE(CONTROL!$C$22, $C$13, 100%, $E$13)</f>
        <v>9.2499000000000002</v>
      </c>
      <c r="F511" s="64">
        <f>9.2499 * CHOOSE(CONTROL!$C$22, $C$13, 100%, $E$13)</f>
        <v>9.2499000000000002</v>
      </c>
      <c r="G511" s="64">
        <f>9.2523 * CHOOSE(CONTROL!$C$22, $C$13, 100%, $E$13)</f>
        <v>9.2523</v>
      </c>
      <c r="H511" s="64">
        <f>15.7908* CHOOSE(CONTROL!$C$22, $C$13, 100%, $E$13)</f>
        <v>15.790800000000001</v>
      </c>
      <c r="I511" s="64">
        <f>15.7932 * CHOOSE(CONTROL!$C$22, $C$13, 100%, $E$13)</f>
        <v>15.793200000000001</v>
      </c>
      <c r="J511" s="64">
        <f>9.2499 * CHOOSE(CONTROL!$C$22, $C$13, 100%, $E$13)</f>
        <v>9.2499000000000002</v>
      </c>
      <c r="K511" s="64">
        <f>9.2523 * CHOOSE(CONTROL!$C$22, $C$13, 100%, $E$13)</f>
        <v>9.2523</v>
      </c>
    </row>
    <row r="512" spans="1:11" ht="15">
      <c r="A512" s="13">
        <v>57224</v>
      </c>
      <c r="B512" s="63">
        <f>7.9658 * CHOOSE(CONTROL!$C$22, $C$13, 100%, $E$13)</f>
        <v>7.9657999999999998</v>
      </c>
      <c r="C512" s="63">
        <f>7.9658 * CHOOSE(CONTROL!$C$22, $C$13, 100%, $E$13)</f>
        <v>7.9657999999999998</v>
      </c>
      <c r="D512" s="63">
        <f>8.0058 * CHOOSE(CONTROL!$C$22, $C$13, 100%, $E$13)</f>
        <v>8.0058000000000007</v>
      </c>
      <c r="E512" s="64">
        <f>9.2372 * CHOOSE(CONTROL!$C$22, $C$13, 100%, $E$13)</f>
        <v>9.2371999999999996</v>
      </c>
      <c r="F512" s="64">
        <f>9.2372 * CHOOSE(CONTROL!$C$22, $C$13, 100%, $E$13)</f>
        <v>9.2371999999999996</v>
      </c>
      <c r="G512" s="64">
        <f>9.2397 * CHOOSE(CONTROL!$C$22, $C$13, 100%, $E$13)</f>
        <v>9.2396999999999991</v>
      </c>
      <c r="H512" s="64">
        <f>15.8237* CHOOSE(CONTROL!$C$22, $C$13, 100%, $E$13)</f>
        <v>15.823700000000001</v>
      </c>
      <c r="I512" s="64">
        <f>15.8261 * CHOOSE(CONTROL!$C$22, $C$13, 100%, $E$13)</f>
        <v>15.8261</v>
      </c>
      <c r="J512" s="64">
        <f>9.2372 * CHOOSE(CONTROL!$C$22, $C$13, 100%, $E$13)</f>
        <v>9.2371999999999996</v>
      </c>
      <c r="K512" s="64">
        <f>9.2397 * CHOOSE(CONTROL!$C$22, $C$13, 100%, $E$13)</f>
        <v>9.2396999999999991</v>
      </c>
    </row>
    <row r="513" spans="1:11" ht="15">
      <c r="A513" s="13">
        <v>57254</v>
      </c>
      <c r="B513" s="63">
        <f>7.9743 * CHOOSE(CONTROL!$C$22, $C$13, 100%, $E$13)</f>
        <v>7.9743000000000004</v>
      </c>
      <c r="C513" s="63">
        <f>7.9743 * CHOOSE(CONTROL!$C$22, $C$13, 100%, $E$13)</f>
        <v>7.9743000000000004</v>
      </c>
      <c r="D513" s="63">
        <f>7.9943 * CHOOSE(CONTROL!$C$22, $C$13, 100%, $E$13)</f>
        <v>7.9943</v>
      </c>
      <c r="E513" s="64">
        <f>9.2659 * CHOOSE(CONTROL!$C$22, $C$13, 100%, $E$13)</f>
        <v>9.2659000000000002</v>
      </c>
      <c r="F513" s="64">
        <f>9.2659 * CHOOSE(CONTROL!$C$22, $C$13, 100%, $E$13)</f>
        <v>9.2659000000000002</v>
      </c>
      <c r="G513" s="64">
        <f>9.2661 * CHOOSE(CONTROL!$C$22, $C$13, 100%, $E$13)</f>
        <v>9.2660999999999998</v>
      </c>
      <c r="H513" s="64">
        <f>15.8566* CHOOSE(CONTROL!$C$22, $C$13, 100%, $E$13)</f>
        <v>15.8566</v>
      </c>
      <c r="I513" s="64">
        <f>15.8568 * CHOOSE(CONTROL!$C$22, $C$13, 100%, $E$13)</f>
        <v>15.8568</v>
      </c>
      <c r="J513" s="64">
        <f>9.2659 * CHOOSE(CONTROL!$C$22, $C$13, 100%, $E$13)</f>
        <v>9.2659000000000002</v>
      </c>
      <c r="K513" s="64">
        <f>9.2661 * CHOOSE(CONTROL!$C$22, $C$13, 100%, $E$13)</f>
        <v>9.2660999999999998</v>
      </c>
    </row>
    <row r="514" spans="1:11" ht="15">
      <c r="A514" s="13">
        <v>57285</v>
      </c>
      <c r="B514" s="63">
        <f>7.9773 * CHOOSE(CONTROL!$C$22, $C$13, 100%, $E$13)</f>
        <v>7.9772999999999996</v>
      </c>
      <c r="C514" s="63">
        <f>7.9773 * CHOOSE(CONTROL!$C$22, $C$13, 100%, $E$13)</f>
        <v>7.9772999999999996</v>
      </c>
      <c r="D514" s="63">
        <f>7.9973 * CHOOSE(CONTROL!$C$22, $C$13, 100%, $E$13)</f>
        <v>7.9973000000000001</v>
      </c>
      <c r="E514" s="64">
        <f>9.2891 * CHOOSE(CONTROL!$C$22, $C$13, 100%, $E$13)</f>
        <v>9.2890999999999995</v>
      </c>
      <c r="F514" s="64">
        <f>9.2891 * CHOOSE(CONTROL!$C$22, $C$13, 100%, $E$13)</f>
        <v>9.2890999999999995</v>
      </c>
      <c r="G514" s="64">
        <f>9.2893 * CHOOSE(CONTROL!$C$22, $C$13, 100%, $E$13)</f>
        <v>9.2893000000000008</v>
      </c>
      <c r="H514" s="64">
        <f>15.8897* CHOOSE(CONTROL!$C$22, $C$13, 100%, $E$13)</f>
        <v>15.889699999999999</v>
      </c>
      <c r="I514" s="64">
        <f>15.8898 * CHOOSE(CONTROL!$C$22, $C$13, 100%, $E$13)</f>
        <v>15.889799999999999</v>
      </c>
      <c r="J514" s="64">
        <f>9.2891 * CHOOSE(CONTROL!$C$22, $C$13, 100%, $E$13)</f>
        <v>9.2890999999999995</v>
      </c>
      <c r="K514" s="64">
        <f>9.2893 * CHOOSE(CONTROL!$C$22, $C$13, 100%, $E$13)</f>
        <v>9.2893000000000008</v>
      </c>
    </row>
    <row r="515" spans="1:11" ht="15">
      <c r="A515" s="13">
        <v>57315</v>
      </c>
      <c r="B515" s="63">
        <f>7.9773 * CHOOSE(CONTROL!$C$22, $C$13, 100%, $E$13)</f>
        <v>7.9772999999999996</v>
      </c>
      <c r="C515" s="63">
        <f>7.9773 * CHOOSE(CONTROL!$C$22, $C$13, 100%, $E$13)</f>
        <v>7.9772999999999996</v>
      </c>
      <c r="D515" s="63">
        <f>7.9973 * CHOOSE(CONTROL!$C$22, $C$13, 100%, $E$13)</f>
        <v>7.9973000000000001</v>
      </c>
      <c r="E515" s="64">
        <f>9.2365 * CHOOSE(CONTROL!$C$22, $C$13, 100%, $E$13)</f>
        <v>9.2364999999999995</v>
      </c>
      <c r="F515" s="64">
        <f>9.2365 * CHOOSE(CONTROL!$C$22, $C$13, 100%, $E$13)</f>
        <v>9.2364999999999995</v>
      </c>
      <c r="G515" s="64">
        <f>9.2366 * CHOOSE(CONTROL!$C$22, $C$13, 100%, $E$13)</f>
        <v>9.2365999999999993</v>
      </c>
      <c r="H515" s="64">
        <f>15.9228* CHOOSE(CONTROL!$C$22, $C$13, 100%, $E$13)</f>
        <v>15.922800000000001</v>
      </c>
      <c r="I515" s="64">
        <f>15.9229 * CHOOSE(CONTROL!$C$22, $C$13, 100%, $E$13)</f>
        <v>15.9229</v>
      </c>
      <c r="J515" s="64">
        <f>9.2365 * CHOOSE(CONTROL!$C$22, $C$13, 100%, $E$13)</f>
        <v>9.2364999999999995</v>
      </c>
      <c r="K515" s="64">
        <f>9.2366 * CHOOSE(CONTROL!$C$22, $C$13, 100%, $E$13)</f>
        <v>9.2365999999999993</v>
      </c>
    </row>
    <row r="516" spans="1:11" ht="15">
      <c r="A516" s="13">
        <v>57346</v>
      </c>
      <c r="B516" s="63">
        <f>8.048 * CHOOSE(CONTROL!$C$22, $C$13, 100%, $E$13)</f>
        <v>8.048</v>
      </c>
      <c r="C516" s="63">
        <f>8.048 * CHOOSE(CONTROL!$C$22, $C$13, 100%, $E$13)</f>
        <v>8.048</v>
      </c>
      <c r="D516" s="63">
        <f>8.068 * CHOOSE(CONTROL!$C$22, $C$13, 100%, $E$13)</f>
        <v>8.0679999999999996</v>
      </c>
      <c r="E516" s="64">
        <f>9.3568 * CHOOSE(CONTROL!$C$22, $C$13, 100%, $E$13)</f>
        <v>9.3567999999999998</v>
      </c>
      <c r="F516" s="64">
        <f>9.3568 * CHOOSE(CONTROL!$C$22, $C$13, 100%, $E$13)</f>
        <v>9.3567999999999998</v>
      </c>
      <c r="G516" s="64">
        <f>9.357 * CHOOSE(CONTROL!$C$22, $C$13, 100%, $E$13)</f>
        <v>9.3569999999999993</v>
      </c>
      <c r="H516" s="64">
        <f>15.9559* CHOOSE(CONTROL!$C$22, $C$13, 100%, $E$13)</f>
        <v>15.9559</v>
      </c>
      <c r="I516" s="64">
        <f>15.9561 * CHOOSE(CONTROL!$C$22, $C$13, 100%, $E$13)</f>
        <v>15.956099999999999</v>
      </c>
      <c r="J516" s="64">
        <f>9.3568 * CHOOSE(CONTROL!$C$22, $C$13, 100%, $E$13)</f>
        <v>9.3567999999999998</v>
      </c>
      <c r="K516" s="64">
        <f>9.357 * CHOOSE(CONTROL!$C$22, $C$13, 100%, $E$13)</f>
        <v>9.3569999999999993</v>
      </c>
    </row>
    <row r="517" spans="1:11" ht="15">
      <c r="A517" s="13">
        <v>57377</v>
      </c>
      <c r="B517" s="63">
        <f>8.045 * CHOOSE(CONTROL!$C$22, $C$13, 100%, $E$13)</f>
        <v>8.0449999999999999</v>
      </c>
      <c r="C517" s="63">
        <f>8.045 * CHOOSE(CONTROL!$C$22, $C$13, 100%, $E$13)</f>
        <v>8.0449999999999999</v>
      </c>
      <c r="D517" s="63">
        <f>8.065 * CHOOSE(CONTROL!$C$22, $C$13, 100%, $E$13)</f>
        <v>8.0649999999999995</v>
      </c>
      <c r="E517" s="64">
        <f>9.2525 * CHOOSE(CONTROL!$C$22, $C$13, 100%, $E$13)</f>
        <v>9.2524999999999995</v>
      </c>
      <c r="F517" s="64">
        <f>9.2525 * CHOOSE(CONTROL!$C$22, $C$13, 100%, $E$13)</f>
        <v>9.2524999999999995</v>
      </c>
      <c r="G517" s="64">
        <f>9.2526 * CHOOSE(CONTROL!$C$22, $C$13, 100%, $E$13)</f>
        <v>9.2525999999999993</v>
      </c>
      <c r="H517" s="64">
        <f>15.9892* CHOOSE(CONTROL!$C$22, $C$13, 100%, $E$13)</f>
        <v>15.9892</v>
      </c>
      <c r="I517" s="64">
        <f>15.9894 * CHOOSE(CONTROL!$C$22, $C$13, 100%, $E$13)</f>
        <v>15.9894</v>
      </c>
      <c r="J517" s="64">
        <f>9.2525 * CHOOSE(CONTROL!$C$22, $C$13, 100%, $E$13)</f>
        <v>9.2524999999999995</v>
      </c>
      <c r="K517" s="64">
        <f>9.2526 * CHOOSE(CONTROL!$C$22, $C$13, 100%, $E$13)</f>
        <v>9.2525999999999993</v>
      </c>
    </row>
    <row r="518" spans="1:11" ht="15">
      <c r="A518" s="13">
        <v>57405</v>
      </c>
      <c r="B518" s="63">
        <f>8.0419 * CHOOSE(CONTROL!$C$22, $C$13, 100%, $E$13)</f>
        <v>8.0419</v>
      </c>
      <c r="C518" s="63">
        <f>8.0419 * CHOOSE(CONTROL!$C$22, $C$13, 100%, $E$13)</f>
        <v>8.0419</v>
      </c>
      <c r="D518" s="63">
        <f>8.0619 * CHOOSE(CONTROL!$C$22, $C$13, 100%, $E$13)</f>
        <v>8.0618999999999996</v>
      </c>
      <c r="E518" s="64">
        <f>9.331 * CHOOSE(CONTROL!$C$22, $C$13, 100%, $E$13)</f>
        <v>9.3309999999999995</v>
      </c>
      <c r="F518" s="64">
        <f>9.331 * CHOOSE(CONTROL!$C$22, $C$13, 100%, $E$13)</f>
        <v>9.3309999999999995</v>
      </c>
      <c r="G518" s="64">
        <f>9.3311 * CHOOSE(CONTROL!$C$22, $C$13, 100%, $E$13)</f>
        <v>9.3310999999999993</v>
      </c>
      <c r="H518" s="64">
        <f>16.0225* CHOOSE(CONTROL!$C$22, $C$13, 100%, $E$13)</f>
        <v>16.022500000000001</v>
      </c>
      <c r="I518" s="64">
        <f>16.0227 * CHOOSE(CONTROL!$C$22, $C$13, 100%, $E$13)</f>
        <v>16.0227</v>
      </c>
      <c r="J518" s="64">
        <f>9.331 * CHOOSE(CONTROL!$C$22, $C$13, 100%, $E$13)</f>
        <v>9.3309999999999995</v>
      </c>
      <c r="K518" s="64">
        <f>9.3311 * CHOOSE(CONTROL!$C$22, $C$13, 100%, $E$13)</f>
        <v>9.3310999999999993</v>
      </c>
    </row>
    <row r="519" spans="1:11" ht="15">
      <c r="A519" s="13">
        <v>57436</v>
      </c>
      <c r="B519" s="63">
        <f>8.0431 * CHOOSE(CONTROL!$C$22, $C$13, 100%, $E$13)</f>
        <v>8.0431000000000008</v>
      </c>
      <c r="C519" s="63">
        <f>8.0431 * CHOOSE(CONTROL!$C$22, $C$13, 100%, $E$13)</f>
        <v>8.0431000000000008</v>
      </c>
      <c r="D519" s="63">
        <f>8.0631 * CHOOSE(CONTROL!$C$22, $C$13, 100%, $E$13)</f>
        <v>8.0631000000000004</v>
      </c>
      <c r="E519" s="64">
        <f>9.4133 * CHOOSE(CONTROL!$C$22, $C$13, 100%, $E$13)</f>
        <v>9.4132999999999996</v>
      </c>
      <c r="F519" s="64">
        <f>9.4133 * CHOOSE(CONTROL!$C$22, $C$13, 100%, $E$13)</f>
        <v>9.4132999999999996</v>
      </c>
      <c r="G519" s="64">
        <f>9.4135 * CHOOSE(CONTROL!$C$22, $C$13, 100%, $E$13)</f>
        <v>9.4135000000000009</v>
      </c>
      <c r="H519" s="64">
        <f>16.0559* CHOOSE(CONTROL!$C$22, $C$13, 100%, $E$13)</f>
        <v>16.055900000000001</v>
      </c>
      <c r="I519" s="64">
        <f>16.056 * CHOOSE(CONTROL!$C$22, $C$13, 100%, $E$13)</f>
        <v>16.056000000000001</v>
      </c>
      <c r="J519" s="64">
        <f>9.4133 * CHOOSE(CONTROL!$C$22, $C$13, 100%, $E$13)</f>
        <v>9.4132999999999996</v>
      </c>
      <c r="K519" s="64">
        <f>9.4135 * CHOOSE(CONTROL!$C$22, $C$13, 100%, $E$13)</f>
        <v>9.4135000000000009</v>
      </c>
    </row>
    <row r="520" spans="1:11" ht="15">
      <c r="A520" s="13">
        <v>57466</v>
      </c>
      <c r="B520" s="63">
        <f>8.0431 * CHOOSE(CONTROL!$C$22, $C$13, 100%, $E$13)</f>
        <v>8.0431000000000008</v>
      </c>
      <c r="C520" s="63">
        <f>8.0431 * CHOOSE(CONTROL!$C$22, $C$13, 100%, $E$13)</f>
        <v>8.0431000000000008</v>
      </c>
      <c r="D520" s="63">
        <f>8.0831 * CHOOSE(CONTROL!$C$22, $C$13, 100%, $E$13)</f>
        <v>8.0831</v>
      </c>
      <c r="E520" s="64">
        <f>9.4458 * CHOOSE(CONTROL!$C$22, $C$13, 100%, $E$13)</f>
        <v>9.4458000000000002</v>
      </c>
      <c r="F520" s="64">
        <f>9.4458 * CHOOSE(CONTROL!$C$22, $C$13, 100%, $E$13)</f>
        <v>9.4458000000000002</v>
      </c>
      <c r="G520" s="64">
        <f>9.4482 * CHOOSE(CONTROL!$C$22, $C$13, 100%, $E$13)</f>
        <v>9.4481999999999999</v>
      </c>
      <c r="H520" s="64">
        <f>16.0893* CHOOSE(CONTROL!$C$22, $C$13, 100%, $E$13)</f>
        <v>16.089300000000001</v>
      </c>
      <c r="I520" s="64">
        <f>16.0918 * CHOOSE(CONTROL!$C$22, $C$13, 100%, $E$13)</f>
        <v>16.091799999999999</v>
      </c>
      <c r="J520" s="64">
        <f>9.4458 * CHOOSE(CONTROL!$C$22, $C$13, 100%, $E$13)</f>
        <v>9.4458000000000002</v>
      </c>
      <c r="K520" s="64">
        <f>9.4482 * CHOOSE(CONTROL!$C$22, $C$13, 100%, $E$13)</f>
        <v>9.4481999999999999</v>
      </c>
    </row>
    <row r="521" spans="1:11" ht="15">
      <c r="A521" s="13">
        <v>57497</v>
      </c>
      <c r="B521" s="63">
        <f>8.0492 * CHOOSE(CONTROL!$C$22, $C$13, 100%, $E$13)</f>
        <v>8.0492000000000008</v>
      </c>
      <c r="C521" s="63">
        <f>8.0492 * CHOOSE(CONTROL!$C$22, $C$13, 100%, $E$13)</f>
        <v>8.0492000000000008</v>
      </c>
      <c r="D521" s="63">
        <f>8.0892 * CHOOSE(CONTROL!$C$22, $C$13, 100%, $E$13)</f>
        <v>8.0891999999999999</v>
      </c>
      <c r="E521" s="64">
        <f>9.4175 * CHOOSE(CONTROL!$C$22, $C$13, 100%, $E$13)</f>
        <v>9.4175000000000004</v>
      </c>
      <c r="F521" s="64">
        <f>9.4175 * CHOOSE(CONTROL!$C$22, $C$13, 100%, $E$13)</f>
        <v>9.4175000000000004</v>
      </c>
      <c r="G521" s="64">
        <f>9.42 * CHOOSE(CONTROL!$C$22, $C$13, 100%, $E$13)</f>
        <v>9.42</v>
      </c>
      <c r="H521" s="64">
        <f>16.1228* CHOOSE(CONTROL!$C$22, $C$13, 100%, $E$13)</f>
        <v>16.122800000000002</v>
      </c>
      <c r="I521" s="64">
        <f>16.1253 * CHOOSE(CONTROL!$C$22, $C$13, 100%, $E$13)</f>
        <v>16.125299999999999</v>
      </c>
      <c r="J521" s="64">
        <f>9.4175 * CHOOSE(CONTROL!$C$22, $C$13, 100%, $E$13)</f>
        <v>9.4175000000000004</v>
      </c>
      <c r="K521" s="64">
        <f>9.42 * CHOOSE(CONTROL!$C$22, $C$13, 100%, $E$13)</f>
        <v>9.42</v>
      </c>
    </row>
    <row r="522" spans="1:11" ht="15">
      <c r="A522" s="13">
        <v>57527</v>
      </c>
      <c r="B522" s="63">
        <f>8.1797 * CHOOSE(CONTROL!$C$22, $C$13, 100%, $E$13)</f>
        <v>8.1797000000000004</v>
      </c>
      <c r="C522" s="63">
        <f>8.1797 * CHOOSE(CONTROL!$C$22, $C$13, 100%, $E$13)</f>
        <v>8.1797000000000004</v>
      </c>
      <c r="D522" s="63">
        <f>8.2196 * CHOOSE(CONTROL!$C$22, $C$13, 100%, $E$13)</f>
        <v>8.2195999999999998</v>
      </c>
      <c r="E522" s="64">
        <f>9.6012 * CHOOSE(CONTROL!$C$22, $C$13, 100%, $E$13)</f>
        <v>9.6012000000000004</v>
      </c>
      <c r="F522" s="64">
        <f>9.6012 * CHOOSE(CONTROL!$C$22, $C$13, 100%, $E$13)</f>
        <v>9.6012000000000004</v>
      </c>
      <c r="G522" s="64">
        <f>9.6036 * CHOOSE(CONTROL!$C$22, $C$13, 100%, $E$13)</f>
        <v>9.6036000000000001</v>
      </c>
      <c r="H522" s="64">
        <f>16.1564* CHOOSE(CONTROL!$C$22, $C$13, 100%, $E$13)</f>
        <v>16.156400000000001</v>
      </c>
      <c r="I522" s="64">
        <f>16.1589 * CHOOSE(CONTROL!$C$22, $C$13, 100%, $E$13)</f>
        <v>16.158899999999999</v>
      </c>
      <c r="J522" s="64">
        <f>9.6012 * CHOOSE(CONTROL!$C$22, $C$13, 100%, $E$13)</f>
        <v>9.6012000000000004</v>
      </c>
      <c r="K522" s="64">
        <f>9.6036 * CHOOSE(CONTROL!$C$22, $C$13, 100%, $E$13)</f>
        <v>9.6036000000000001</v>
      </c>
    </row>
    <row r="523" spans="1:11" ht="15">
      <c r="A523" s="13">
        <v>57558</v>
      </c>
      <c r="B523" s="63">
        <f>8.1863 * CHOOSE(CONTROL!$C$22, $C$13, 100%, $E$13)</f>
        <v>8.1862999999999992</v>
      </c>
      <c r="C523" s="63">
        <f>8.1863 * CHOOSE(CONTROL!$C$22, $C$13, 100%, $E$13)</f>
        <v>8.1862999999999992</v>
      </c>
      <c r="D523" s="63">
        <f>8.2263 * CHOOSE(CONTROL!$C$22, $C$13, 100%, $E$13)</f>
        <v>8.2263000000000002</v>
      </c>
      <c r="E523" s="64">
        <f>9.5085 * CHOOSE(CONTROL!$C$22, $C$13, 100%, $E$13)</f>
        <v>9.5084999999999997</v>
      </c>
      <c r="F523" s="64">
        <f>9.5085 * CHOOSE(CONTROL!$C$22, $C$13, 100%, $E$13)</f>
        <v>9.5084999999999997</v>
      </c>
      <c r="G523" s="64">
        <f>9.5109 * CHOOSE(CONTROL!$C$22, $C$13, 100%, $E$13)</f>
        <v>9.5108999999999995</v>
      </c>
      <c r="H523" s="64">
        <f>16.1901* CHOOSE(CONTROL!$C$22, $C$13, 100%, $E$13)</f>
        <v>16.190100000000001</v>
      </c>
      <c r="I523" s="64">
        <f>16.1925 * CHOOSE(CONTROL!$C$22, $C$13, 100%, $E$13)</f>
        <v>16.192499999999999</v>
      </c>
      <c r="J523" s="64">
        <f>9.5085 * CHOOSE(CONTROL!$C$22, $C$13, 100%, $E$13)</f>
        <v>9.5084999999999997</v>
      </c>
      <c r="K523" s="64">
        <f>9.5109 * CHOOSE(CONTROL!$C$22, $C$13, 100%, $E$13)</f>
        <v>9.5108999999999995</v>
      </c>
    </row>
    <row r="524" spans="1:11" ht="15">
      <c r="A524" s="13">
        <v>57589</v>
      </c>
      <c r="B524" s="63">
        <f>8.1833 * CHOOSE(CONTROL!$C$22, $C$13, 100%, $E$13)</f>
        <v>8.1832999999999991</v>
      </c>
      <c r="C524" s="63">
        <f>8.1833 * CHOOSE(CONTROL!$C$22, $C$13, 100%, $E$13)</f>
        <v>8.1832999999999991</v>
      </c>
      <c r="D524" s="63">
        <f>8.2232 * CHOOSE(CONTROL!$C$22, $C$13, 100%, $E$13)</f>
        <v>8.2232000000000003</v>
      </c>
      <c r="E524" s="64">
        <f>9.4955 * CHOOSE(CONTROL!$C$22, $C$13, 100%, $E$13)</f>
        <v>9.4954999999999998</v>
      </c>
      <c r="F524" s="64">
        <f>9.4955 * CHOOSE(CONTROL!$C$22, $C$13, 100%, $E$13)</f>
        <v>9.4954999999999998</v>
      </c>
      <c r="G524" s="64">
        <f>9.498 * CHOOSE(CONTROL!$C$22, $C$13, 100%, $E$13)</f>
        <v>9.4979999999999993</v>
      </c>
      <c r="H524" s="64">
        <f>16.2238* CHOOSE(CONTROL!$C$22, $C$13, 100%, $E$13)</f>
        <v>16.223800000000001</v>
      </c>
      <c r="I524" s="64">
        <f>16.2263 * CHOOSE(CONTROL!$C$22, $C$13, 100%, $E$13)</f>
        <v>16.226299999999998</v>
      </c>
      <c r="J524" s="64">
        <f>9.4955 * CHOOSE(CONTROL!$C$22, $C$13, 100%, $E$13)</f>
        <v>9.4954999999999998</v>
      </c>
      <c r="K524" s="64">
        <f>9.498 * CHOOSE(CONTROL!$C$22, $C$13, 100%, $E$13)</f>
        <v>9.4979999999999993</v>
      </c>
    </row>
    <row r="525" spans="1:11" ht="15">
      <c r="A525" s="13">
        <v>57619</v>
      </c>
      <c r="B525" s="63">
        <f>8.1925 * CHOOSE(CONTROL!$C$22, $C$13, 100%, $E$13)</f>
        <v>8.1925000000000008</v>
      </c>
      <c r="C525" s="63">
        <f>8.1925 * CHOOSE(CONTROL!$C$22, $C$13, 100%, $E$13)</f>
        <v>8.1925000000000008</v>
      </c>
      <c r="D525" s="63">
        <f>8.2124 * CHOOSE(CONTROL!$C$22, $C$13, 100%, $E$13)</f>
        <v>8.2124000000000006</v>
      </c>
      <c r="E525" s="64">
        <f>9.5254 * CHOOSE(CONTROL!$C$22, $C$13, 100%, $E$13)</f>
        <v>9.5253999999999994</v>
      </c>
      <c r="F525" s="64">
        <f>9.5254 * CHOOSE(CONTROL!$C$22, $C$13, 100%, $E$13)</f>
        <v>9.5253999999999994</v>
      </c>
      <c r="G525" s="64">
        <f>9.5256 * CHOOSE(CONTROL!$C$22, $C$13, 100%, $E$13)</f>
        <v>9.5256000000000007</v>
      </c>
      <c r="H525" s="64">
        <f>16.2576* CHOOSE(CONTROL!$C$22, $C$13, 100%, $E$13)</f>
        <v>16.2576</v>
      </c>
      <c r="I525" s="64">
        <f>16.2578 * CHOOSE(CONTROL!$C$22, $C$13, 100%, $E$13)</f>
        <v>16.2578</v>
      </c>
      <c r="J525" s="64">
        <f>9.5254 * CHOOSE(CONTROL!$C$22, $C$13, 100%, $E$13)</f>
        <v>9.5253999999999994</v>
      </c>
      <c r="K525" s="64">
        <f>9.5256 * CHOOSE(CONTROL!$C$22, $C$13, 100%, $E$13)</f>
        <v>9.5256000000000007</v>
      </c>
    </row>
    <row r="526" spans="1:11" ht="15">
      <c r="A526" s="13">
        <v>57650</v>
      </c>
      <c r="B526" s="63">
        <f>8.1955 * CHOOSE(CONTROL!$C$22, $C$13, 100%, $E$13)</f>
        <v>8.1954999999999991</v>
      </c>
      <c r="C526" s="63">
        <f>8.1955 * CHOOSE(CONTROL!$C$22, $C$13, 100%, $E$13)</f>
        <v>8.1954999999999991</v>
      </c>
      <c r="D526" s="63">
        <f>8.2155 * CHOOSE(CONTROL!$C$22, $C$13, 100%, $E$13)</f>
        <v>8.2155000000000005</v>
      </c>
      <c r="E526" s="64">
        <f>9.5491 * CHOOSE(CONTROL!$C$22, $C$13, 100%, $E$13)</f>
        <v>9.5490999999999993</v>
      </c>
      <c r="F526" s="64">
        <f>9.5491 * CHOOSE(CONTROL!$C$22, $C$13, 100%, $E$13)</f>
        <v>9.5490999999999993</v>
      </c>
      <c r="G526" s="64">
        <f>9.5493 * CHOOSE(CONTROL!$C$22, $C$13, 100%, $E$13)</f>
        <v>9.5493000000000006</v>
      </c>
      <c r="H526" s="64">
        <f>16.2915* CHOOSE(CONTROL!$C$22, $C$13, 100%, $E$13)</f>
        <v>16.291499999999999</v>
      </c>
      <c r="I526" s="64">
        <f>16.2917 * CHOOSE(CONTROL!$C$22, $C$13, 100%, $E$13)</f>
        <v>16.291699999999999</v>
      </c>
      <c r="J526" s="64">
        <f>9.5491 * CHOOSE(CONTROL!$C$22, $C$13, 100%, $E$13)</f>
        <v>9.5490999999999993</v>
      </c>
      <c r="K526" s="64">
        <f>9.5493 * CHOOSE(CONTROL!$C$22, $C$13, 100%, $E$13)</f>
        <v>9.5493000000000006</v>
      </c>
    </row>
    <row r="527" spans="1:11" ht="15">
      <c r="A527" s="13">
        <v>57680</v>
      </c>
      <c r="B527" s="63">
        <f>8.1955 * CHOOSE(CONTROL!$C$22, $C$13, 100%, $E$13)</f>
        <v>8.1954999999999991</v>
      </c>
      <c r="C527" s="63">
        <f>8.1955 * CHOOSE(CONTROL!$C$22, $C$13, 100%, $E$13)</f>
        <v>8.1954999999999991</v>
      </c>
      <c r="D527" s="63">
        <f>8.2155 * CHOOSE(CONTROL!$C$22, $C$13, 100%, $E$13)</f>
        <v>8.2155000000000005</v>
      </c>
      <c r="E527" s="64">
        <f>9.495 * CHOOSE(CONTROL!$C$22, $C$13, 100%, $E$13)</f>
        <v>9.4949999999999992</v>
      </c>
      <c r="F527" s="64">
        <f>9.495 * CHOOSE(CONTROL!$C$22, $C$13, 100%, $E$13)</f>
        <v>9.4949999999999992</v>
      </c>
      <c r="G527" s="64">
        <f>9.4952 * CHOOSE(CONTROL!$C$22, $C$13, 100%, $E$13)</f>
        <v>9.4952000000000005</v>
      </c>
      <c r="H527" s="64">
        <f>16.3254* CHOOSE(CONTROL!$C$22, $C$13, 100%, $E$13)</f>
        <v>16.325399999999998</v>
      </c>
      <c r="I527" s="64">
        <f>16.3256 * CHOOSE(CONTROL!$C$22, $C$13, 100%, $E$13)</f>
        <v>16.325600000000001</v>
      </c>
      <c r="J527" s="64">
        <f>9.495 * CHOOSE(CONTROL!$C$22, $C$13, 100%, $E$13)</f>
        <v>9.4949999999999992</v>
      </c>
      <c r="K527" s="64">
        <f>9.4952 * CHOOSE(CONTROL!$C$22, $C$13, 100%, $E$13)</f>
        <v>9.4952000000000005</v>
      </c>
    </row>
    <row r="528" spans="1:11" ht="15">
      <c r="A528" s="13">
        <v>57711</v>
      </c>
      <c r="B528" s="63">
        <f>8.268 * CHOOSE(CONTROL!$C$22, $C$13, 100%, $E$13)</f>
        <v>8.2680000000000007</v>
      </c>
      <c r="C528" s="63">
        <f>8.268 * CHOOSE(CONTROL!$C$22, $C$13, 100%, $E$13)</f>
        <v>8.2680000000000007</v>
      </c>
      <c r="D528" s="63">
        <f>8.288 * CHOOSE(CONTROL!$C$22, $C$13, 100%, $E$13)</f>
        <v>8.2880000000000003</v>
      </c>
      <c r="E528" s="64">
        <f>9.6187 * CHOOSE(CONTROL!$C$22, $C$13, 100%, $E$13)</f>
        <v>9.6187000000000005</v>
      </c>
      <c r="F528" s="64">
        <f>9.6187 * CHOOSE(CONTROL!$C$22, $C$13, 100%, $E$13)</f>
        <v>9.6187000000000005</v>
      </c>
      <c r="G528" s="64">
        <f>9.6189 * CHOOSE(CONTROL!$C$22, $C$13, 100%, $E$13)</f>
        <v>9.6189</v>
      </c>
      <c r="H528" s="64">
        <f>16.3594* CHOOSE(CONTROL!$C$22, $C$13, 100%, $E$13)</f>
        <v>16.359400000000001</v>
      </c>
      <c r="I528" s="64">
        <f>16.3596 * CHOOSE(CONTROL!$C$22, $C$13, 100%, $E$13)</f>
        <v>16.3596</v>
      </c>
      <c r="J528" s="64">
        <f>9.6187 * CHOOSE(CONTROL!$C$22, $C$13, 100%, $E$13)</f>
        <v>9.6187000000000005</v>
      </c>
      <c r="K528" s="64">
        <f>9.6189 * CHOOSE(CONTROL!$C$22, $C$13, 100%, $E$13)</f>
        <v>9.6189</v>
      </c>
    </row>
    <row r="529" spans="1:11" ht="15">
      <c r="A529" s="13">
        <v>57742</v>
      </c>
      <c r="B529" s="63">
        <f>8.265 * CHOOSE(CONTROL!$C$22, $C$13, 100%, $E$13)</f>
        <v>8.2650000000000006</v>
      </c>
      <c r="C529" s="63">
        <f>8.265 * CHOOSE(CONTROL!$C$22, $C$13, 100%, $E$13)</f>
        <v>8.2650000000000006</v>
      </c>
      <c r="D529" s="63">
        <f>8.2849 * CHOOSE(CONTROL!$C$22, $C$13, 100%, $E$13)</f>
        <v>8.2849000000000004</v>
      </c>
      <c r="E529" s="64">
        <f>9.5114 * CHOOSE(CONTROL!$C$22, $C$13, 100%, $E$13)</f>
        <v>9.5114000000000001</v>
      </c>
      <c r="F529" s="64">
        <f>9.5114 * CHOOSE(CONTROL!$C$22, $C$13, 100%, $E$13)</f>
        <v>9.5114000000000001</v>
      </c>
      <c r="G529" s="64">
        <f>9.5116 * CHOOSE(CONTROL!$C$22, $C$13, 100%, $E$13)</f>
        <v>9.5115999999999996</v>
      </c>
      <c r="H529" s="64">
        <f>16.3935* CHOOSE(CONTROL!$C$22, $C$13, 100%, $E$13)</f>
        <v>16.3935</v>
      </c>
      <c r="I529" s="64">
        <f>16.3937 * CHOOSE(CONTROL!$C$22, $C$13, 100%, $E$13)</f>
        <v>16.393699999999999</v>
      </c>
      <c r="J529" s="64">
        <f>9.5114 * CHOOSE(CONTROL!$C$22, $C$13, 100%, $E$13)</f>
        <v>9.5114000000000001</v>
      </c>
      <c r="K529" s="64">
        <f>9.5116 * CHOOSE(CONTROL!$C$22, $C$13, 100%, $E$13)</f>
        <v>9.5115999999999996</v>
      </c>
    </row>
    <row r="530" spans="1:11" ht="15">
      <c r="A530" s="13">
        <v>57770</v>
      </c>
      <c r="B530" s="63">
        <f>8.2619 * CHOOSE(CONTROL!$C$22, $C$13, 100%, $E$13)</f>
        <v>8.2619000000000007</v>
      </c>
      <c r="C530" s="63">
        <f>8.2619 * CHOOSE(CONTROL!$C$22, $C$13, 100%, $E$13)</f>
        <v>8.2619000000000007</v>
      </c>
      <c r="D530" s="63">
        <f>8.2819 * CHOOSE(CONTROL!$C$22, $C$13, 100%, $E$13)</f>
        <v>8.2819000000000003</v>
      </c>
      <c r="E530" s="64">
        <f>9.5922 * CHOOSE(CONTROL!$C$22, $C$13, 100%, $E$13)</f>
        <v>9.5922000000000001</v>
      </c>
      <c r="F530" s="64">
        <f>9.5922 * CHOOSE(CONTROL!$C$22, $C$13, 100%, $E$13)</f>
        <v>9.5922000000000001</v>
      </c>
      <c r="G530" s="64">
        <f>9.5924 * CHOOSE(CONTROL!$C$22, $C$13, 100%, $E$13)</f>
        <v>9.5923999999999996</v>
      </c>
      <c r="H530" s="64">
        <f>16.4277* CHOOSE(CONTROL!$C$22, $C$13, 100%, $E$13)</f>
        <v>16.427700000000002</v>
      </c>
      <c r="I530" s="64">
        <f>16.4278 * CHOOSE(CONTROL!$C$22, $C$13, 100%, $E$13)</f>
        <v>16.427800000000001</v>
      </c>
      <c r="J530" s="64">
        <f>9.5922 * CHOOSE(CONTROL!$C$22, $C$13, 100%, $E$13)</f>
        <v>9.5922000000000001</v>
      </c>
      <c r="K530" s="64">
        <f>9.5924 * CHOOSE(CONTROL!$C$22, $C$13, 100%, $E$13)</f>
        <v>9.5923999999999996</v>
      </c>
    </row>
    <row r="531" spans="1:11" ht="15">
      <c r="A531" s="13">
        <v>57801</v>
      </c>
      <c r="B531" s="63">
        <f>8.2633 * CHOOSE(CONTROL!$C$22, $C$13, 100%, $E$13)</f>
        <v>8.2632999999999992</v>
      </c>
      <c r="C531" s="63">
        <f>8.2633 * CHOOSE(CONTROL!$C$22, $C$13, 100%, $E$13)</f>
        <v>8.2632999999999992</v>
      </c>
      <c r="D531" s="63">
        <f>8.2833 * CHOOSE(CONTROL!$C$22, $C$13, 100%, $E$13)</f>
        <v>8.2833000000000006</v>
      </c>
      <c r="E531" s="64">
        <f>9.677 * CHOOSE(CONTROL!$C$22, $C$13, 100%, $E$13)</f>
        <v>9.6769999999999996</v>
      </c>
      <c r="F531" s="64">
        <f>9.677 * CHOOSE(CONTROL!$C$22, $C$13, 100%, $E$13)</f>
        <v>9.6769999999999996</v>
      </c>
      <c r="G531" s="64">
        <f>9.6771 * CHOOSE(CONTROL!$C$22, $C$13, 100%, $E$13)</f>
        <v>9.6770999999999994</v>
      </c>
      <c r="H531" s="64">
        <f>16.4619* CHOOSE(CONTROL!$C$22, $C$13, 100%, $E$13)</f>
        <v>16.4619</v>
      </c>
      <c r="I531" s="64">
        <f>16.4621 * CHOOSE(CONTROL!$C$22, $C$13, 100%, $E$13)</f>
        <v>16.4621</v>
      </c>
      <c r="J531" s="64">
        <f>9.677 * CHOOSE(CONTROL!$C$22, $C$13, 100%, $E$13)</f>
        <v>9.6769999999999996</v>
      </c>
      <c r="K531" s="64">
        <f>9.6771 * CHOOSE(CONTROL!$C$22, $C$13, 100%, $E$13)</f>
        <v>9.6770999999999994</v>
      </c>
    </row>
    <row r="532" spans="1:11" ht="15">
      <c r="A532" s="13">
        <v>57831</v>
      </c>
      <c r="B532" s="63">
        <f>8.2633 * CHOOSE(CONTROL!$C$22, $C$13, 100%, $E$13)</f>
        <v>8.2632999999999992</v>
      </c>
      <c r="C532" s="63">
        <f>8.2633 * CHOOSE(CONTROL!$C$22, $C$13, 100%, $E$13)</f>
        <v>8.2632999999999992</v>
      </c>
      <c r="D532" s="63">
        <f>8.3033 * CHOOSE(CONTROL!$C$22, $C$13, 100%, $E$13)</f>
        <v>8.3033000000000001</v>
      </c>
      <c r="E532" s="64">
        <f>9.7103 * CHOOSE(CONTROL!$C$22, $C$13, 100%, $E$13)</f>
        <v>9.7103000000000002</v>
      </c>
      <c r="F532" s="64">
        <f>9.7103 * CHOOSE(CONTROL!$C$22, $C$13, 100%, $E$13)</f>
        <v>9.7103000000000002</v>
      </c>
      <c r="G532" s="64">
        <f>9.7128 * CHOOSE(CONTROL!$C$22, $C$13, 100%, $E$13)</f>
        <v>9.7127999999999997</v>
      </c>
      <c r="H532" s="64">
        <f>16.4962* CHOOSE(CONTROL!$C$22, $C$13, 100%, $E$13)</f>
        <v>16.496200000000002</v>
      </c>
      <c r="I532" s="64">
        <f>16.4986 * CHOOSE(CONTROL!$C$22, $C$13, 100%, $E$13)</f>
        <v>16.4986</v>
      </c>
      <c r="J532" s="64">
        <f>9.7103 * CHOOSE(CONTROL!$C$22, $C$13, 100%, $E$13)</f>
        <v>9.7103000000000002</v>
      </c>
      <c r="K532" s="64">
        <f>9.7128 * CHOOSE(CONTROL!$C$22, $C$13, 100%, $E$13)</f>
        <v>9.7127999999999997</v>
      </c>
    </row>
    <row r="533" spans="1:11" ht="15">
      <c r="A533" s="13">
        <v>57862</v>
      </c>
      <c r="B533" s="63">
        <f>8.2694 * CHOOSE(CONTROL!$C$22, $C$13, 100%, $E$13)</f>
        <v>8.2693999999999992</v>
      </c>
      <c r="C533" s="63">
        <f>8.2694 * CHOOSE(CONTROL!$C$22, $C$13, 100%, $E$13)</f>
        <v>8.2693999999999992</v>
      </c>
      <c r="D533" s="63">
        <f>8.3093 * CHOOSE(CONTROL!$C$22, $C$13, 100%, $E$13)</f>
        <v>8.3093000000000004</v>
      </c>
      <c r="E533" s="64">
        <f>9.6812 * CHOOSE(CONTROL!$C$22, $C$13, 100%, $E$13)</f>
        <v>9.6812000000000005</v>
      </c>
      <c r="F533" s="64">
        <f>9.6812 * CHOOSE(CONTROL!$C$22, $C$13, 100%, $E$13)</f>
        <v>9.6812000000000005</v>
      </c>
      <c r="G533" s="64">
        <f>9.6837 * CHOOSE(CONTROL!$C$22, $C$13, 100%, $E$13)</f>
        <v>9.6837</v>
      </c>
      <c r="H533" s="64">
        <f>16.5306* CHOOSE(CONTROL!$C$22, $C$13, 100%, $E$13)</f>
        <v>16.5306</v>
      </c>
      <c r="I533" s="64">
        <f>16.533 * CHOOSE(CONTROL!$C$22, $C$13, 100%, $E$13)</f>
        <v>16.533000000000001</v>
      </c>
      <c r="J533" s="64">
        <f>9.6812 * CHOOSE(CONTROL!$C$22, $C$13, 100%, $E$13)</f>
        <v>9.6812000000000005</v>
      </c>
      <c r="K533" s="64">
        <f>9.6837 * CHOOSE(CONTROL!$C$22, $C$13, 100%, $E$13)</f>
        <v>9.6837</v>
      </c>
    </row>
    <row r="534" spans="1:11" ht="15">
      <c r="A534" s="13">
        <v>57892</v>
      </c>
      <c r="B534" s="63">
        <f>8.4031 * CHOOSE(CONTROL!$C$22, $C$13, 100%, $E$13)</f>
        <v>8.4031000000000002</v>
      </c>
      <c r="C534" s="63">
        <f>8.4031 * CHOOSE(CONTROL!$C$22, $C$13, 100%, $E$13)</f>
        <v>8.4031000000000002</v>
      </c>
      <c r="D534" s="63">
        <f>8.4431 * CHOOSE(CONTROL!$C$22, $C$13, 100%, $E$13)</f>
        <v>8.4430999999999994</v>
      </c>
      <c r="E534" s="64">
        <f>9.8697 * CHOOSE(CONTROL!$C$22, $C$13, 100%, $E$13)</f>
        <v>9.8696999999999999</v>
      </c>
      <c r="F534" s="64">
        <f>9.8697 * CHOOSE(CONTROL!$C$22, $C$13, 100%, $E$13)</f>
        <v>9.8696999999999999</v>
      </c>
      <c r="G534" s="64">
        <f>9.8722 * CHOOSE(CONTROL!$C$22, $C$13, 100%, $E$13)</f>
        <v>9.8721999999999994</v>
      </c>
      <c r="H534" s="64">
        <f>16.565* CHOOSE(CONTROL!$C$22, $C$13, 100%, $E$13)</f>
        <v>16.565000000000001</v>
      </c>
      <c r="I534" s="64">
        <f>16.5674 * CHOOSE(CONTROL!$C$22, $C$13, 100%, $E$13)</f>
        <v>16.567399999999999</v>
      </c>
      <c r="J534" s="64">
        <f>9.8697 * CHOOSE(CONTROL!$C$22, $C$13, 100%, $E$13)</f>
        <v>9.8696999999999999</v>
      </c>
      <c r="K534" s="64">
        <f>9.8722 * CHOOSE(CONTROL!$C$22, $C$13, 100%, $E$13)</f>
        <v>9.8721999999999994</v>
      </c>
    </row>
    <row r="535" spans="1:11" ht="15">
      <c r="A535" s="13">
        <v>57923</v>
      </c>
      <c r="B535" s="63">
        <f>8.4098 * CHOOSE(CONTROL!$C$22, $C$13, 100%, $E$13)</f>
        <v>8.4098000000000006</v>
      </c>
      <c r="C535" s="63">
        <f>8.4098 * CHOOSE(CONTROL!$C$22, $C$13, 100%, $E$13)</f>
        <v>8.4098000000000006</v>
      </c>
      <c r="D535" s="63">
        <f>8.4498 * CHOOSE(CONTROL!$C$22, $C$13, 100%, $E$13)</f>
        <v>8.4497999999999998</v>
      </c>
      <c r="E535" s="64">
        <f>9.7743 * CHOOSE(CONTROL!$C$22, $C$13, 100%, $E$13)</f>
        <v>9.7743000000000002</v>
      </c>
      <c r="F535" s="64">
        <f>9.7743 * CHOOSE(CONTROL!$C$22, $C$13, 100%, $E$13)</f>
        <v>9.7743000000000002</v>
      </c>
      <c r="G535" s="64">
        <f>9.7767 * CHOOSE(CONTROL!$C$22, $C$13, 100%, $E$13)</f>
        <v>9.7766999999999999</v>
      </c>
      <c r="H535" s="64">
        <f>16.5995* CHOOSE(CONTROL!$C$22, $C$13, 100%, $E$13)</f>
        <v>16.599499999999999</v>
      </c>
      <c r="I535" s="64">
        <f>16.602 * CHOOSE(CONTROL!$C$22, $C$13, 100%, $E$13)</f>
        <v>16.602</v>
      </c>
      <c r="J535" s="64">
        <f>9.7743 * CHOOSE(CONTROL!$C$22, $C$13, 100%, $E$13)</f>
        <v>9.7743000000000002</v>
      </c>
      <c r="K535" s="64">
        <f>9.7767 * CHOOSE(CONTROL!$C$22, $C$13, 100%, $E$13)</f>
        <v>9.7766999999999999</v>
      </c>
    </row>
    <row r="536" spans="1:11" ht="15">
      <c r="A536" s="13">
        <v>57954</v>
      </c>
      <c r="B536" s="63">
        <f>8.4068 * CHOOSE(CONTROL!$C$22, $C$13, 100%, $E$13)</f>
        <v>8.4068000000000005</v>
      </c>
      <c r="C536" s="63">
        <f>8.4068 * CHOOSE(CONTROL!$C$22, $C$13, 100%, $E$13)</f>
        <v>8.4068000000000005</v>
      </c>
      <c r="D536" s="63">
        <f>8.4467 * CHOOSE(CONTROL!$C$22, $C$13, 100%, $E$13)</f>
        <v>8.4466999999999999</v>
      </c>
      <c r="E536" s="64">
        <f>9.761 * CHOOSE(CONTROL!$C$22, $C$13, 100%, $E$13)</f>
        <v>9.7609999999999992</v>
      </c>
      <c r="F536" s="64">
        <f>9.761 * CHOOSE(CONTROL!$C$22, $C$13, 100%, $E$13)</f>
        <v>9.7609999999999992</v>
      </c>
      <c r="G536" s="64">
        <f>9.7635 * CHOOSE(CONTROL!$C$22, $C$13, 100%, $E$13)</f>
        <v>9.7635000000000005</v>
      </c>
      <c r="H536" s="64">
        <f>16.6341* CHOOSE(CONTROL!$C$22, $C$13, 100%, $E$13)</f>
        <v>16.6341</v>
      </c>
      <c r="I536" s="64">
        <f>16.6365 * CHOOSE(CONTROL!$C$22, $C$13, 100%, $E$13)</f>
        <v>16.636500000000002</v>
      </c>
      <c r="J536" s="64">
        <f>9.761 * CHOOSE(CONTROL!$C$22, $C$13, 100%, $E$13)</f>
        <v>9.7609999999999992</v>
      </c>
      <c r="K536" s="64">
        <f>9.7635 * CHOOSE(CONTROL!$C$22, $C$13, 100%, $E$13)</f>
        <v>9.7635000000000005</v>
      </c>
    </row>
    <row r="537" spans="1:11" ht="15">
      <c r="A537" s="13">
        <v>57984</v>
      </c>
      <c r="B537" s="63">
        <f>8.4167 * CHOOSE(CONTROL!$C$22, $C$13, 100%, $E$13)</f>
        <v>8.4167000000000005</v>
      </c>
      <c r="C537" s="63">
        <f>8.4167 * CHOOSE(CONTROL!$C$22, $C$13, 100%, $E$13)</f>
        <v>8.4167000000000005</v>
      </c>
      <c r="D537" s="63">
        <f>8.4366 * CHOOSE(CONTROL!$C$22, $C$13, 100%, $E$13)</f>
        <v>8.4366000000000003</v>
      </c>
      <c r="E537" s="64">
        <f>9.7921 * CHOOSE(CONTROL!$C$22, $C$13, 100%, $E$13)</f>
        <v>9.7920999999999996</v>
      </c>
      <c r="F537" s="64">
        <f>9.7921 * CHOOSE(CONTROL!$C$22, $C$13, 100%, $E$13)</f>
        <v>9.7920999999999996</v>
      </c>
      <c r="G537" s="64">
        <f>9.7923 * CHOOSE(CONTROL!$C$22, $C$13, 100%, $E$13)</f>
        <v>9.7922999999999991</v>
      </c>
      <c r="H537" s="64">
        <f>16.6687* CHOOSE(CONTROL!$C$22, $C$13, 100%, $E$13)</f>
        <v>16.668700000000001</v>
      </c>
      <c r="I537" s="64">
        <f>16.6689 * CHOOSE(CONTROL!$C$22, $C$13, 100%, $E$13)</f>
        <v>16.668900000000001</v>
      </c>
      <c r="J537" s="64">
        <f>9.7921 * CHOOSE(CONTROL!$C$22, $C$13, 100%, $E$13)</f>
        <v>9.7920999999999996</v>
      </c>
      <c r="K537" s="64">
        <f>9.7923 * CHOOSE(CONTROL!$C$22, $C$13, 100%, $E$13)</f>
        <v>9.7922999999999991</v>
      </c>
    </row>
    <row r="538" spans="1:11" ht="15">
      <c r="A538" s="13">
        <v>58015</v>
      </c>
      <c r="B538" s="63">
        <f>8.4197 * CHOOSE(CONTROL!$C$22, $C$13, 100%, $E$13)</f>
        <v>8.4197000000000006</v>
      </c>
      <c r="C538" s="63">
        <f>8.4197 * CHOOSE(CONTROL!$C$22, $C$13, 100%, $E$13)</f>
        <v>8.4197000000000006</v>
      </c>
      <c r="D538" s="63">
        <f>8.4397 * CHOOSE(CONTROL!$C$22, $C$13, 100%, $E$13)</f>
        <v>8.4397000000000002</v>
      </c>
      <c r="E538" s="64">
        <f>9.8165 * CHOOSE(CONTROL!$C$22, $C$13, 100%, $E$13)</f>
        <v>9.8164999999999996</v>
      </c>
      <c r="F538" s="64">
        <f>9.8165 * CHOOSE(CONTROL!$C$22, $C$13, 100%, $E$13)</f>
        <v>9.8164999999999996</v>
      </c>
      <c r="G538" s="64">
        <f>9.8166 * CHOOSE(CONTROL!$C$22, $C$13, 100%, $E$13)</f>
        <v>9.8165999999999993</v>
      </c>
      <c r="H538" s="64">
        <f>16.7035* CHOOSE(CONTROL!$C$22, $C$13, 100%, $E$13)</f>
        <v>16.703499999999998</v>
      </c>
      <c r="I538" s="64">
        <f>16.7036 * CHOOSE(CONTROL!$C$22, $C$13, 100%, $E$13)</f>
        <v>16.703600000000002</v>
      </c>
      <c r="J538" s="64">
        <f>9.8165 * CHOOSE(CONTROL!$C$22, $C$13, 100%, $E$13)</f>
        <v>9.8164999999999996</v>
      </c>
      <c r="K538" s="64">
        <f>9.8166 * CHOOSE(CONTROL!$C$22, $C$13, 100%, $E$13)</f>
        <v>9.8165999999999993</v>
      </c>
    </row>
    <row r="539" spans="1:11" ht="15">
      <c r="A539" s="13">
        <v>58045</v>
      </c>
      <c r="B539" s="63">
        <f>8.4197 * CHOOSE(CONTROL!$C$22, $C$13, 100%, $E$13)</f>
        <v>8.4197000000000006</v>
      </c>
      <c r="C539" s="63">
        <f>8.4197 * CHOOSE(CONTROL!$C$22, $C$13, 100%, $E$13)</f>
        <v>8.4197000000000006</v>
      </c>
      <c r="D539" s="63">
        <f>8.4397 * CHOOSE(CONTROL!$C$22, $C$13, 100%, $E$13)</f>
        <v>8.4397000000000002</v>
      </c>
      <c r="E539" s="64">
        <f>9.7608 * CHOOSE(CONTROL!$C$22, $C$13, 100%, $E$13)</f>
        <v>9.7607999999999997</v>
      </c>
      <c r="F539" s="64">
        <f>9.7608 * CHOOSE(CONTROL!$C$22, $C$13, 100%, $E$13)</f>
        <v>9.7607999999999997</v>
      </c>
      <c r="G539" s="64">
        <f>9.761 * CHOOSE(CONTROL!$C$22, $C$13, 100%, $E$13)</f>
        <v>9.7609999999999992</v>
      </c>
      <c r="H539" s="64">
        <f>16.7383* CHOOSE(CONTROL!$C$22, $C$13, 100%, $E$13)</f>
        <v>16.738299999999999</v>
      </c>
      <c r="I539" s="64">
        <f>16.7384 * CHOOSE(CONTROL!$C$22, $C$13, 100%, $E$13)</f>
        <v>16.738399999999999</v>
      </c>
      <c r="J539" s="64">
        <f>9.7608 * CHOOSE(CONTROL!$C$22, $C$13, 100%, $E$13)</f>
        <v>9.7607999999999997</v>
      </c>
      <c r="K539" s="64">
        <f>9.761 * CHOOSE(CONTROL!$C$22, $C$13, 100%, $E$13)</f>
        <v>9.7609999999999992</v>
      </c>
    </row>
    <row r="540" spans="1:11" ht="15">
      <c r="A540" s="13">
        <v>58076</v>
      </c>
      <c r="B540" s="63">
        <f>8.4941 * CHOOSE(CONTROL!$C$22, $C$13, 100%, $E$13)</f>
        <v>8.4940999999999995</v>
      </c>
      <c r="C540" s="63">
        <f>8.4941 * CHOOSE(CONTROL!$C$22, $C$13, 100%, $E$13)</f>
        <v>8.4940999999999995</v>
      </c>
      <c r="D540" s="63">
        <f>8.514 * CHOOSE(CONTROL!$C$22, $C$13, 100%, $E$13)</f>
        <v>8.5139999999999993</v>
      </c>
      <c r="E540" s="64">
        <f>9.8879 * CHOOSE(CONTROL!$C$22, $C$13, 100%, $E$13)</f>
        <v>9.8879000000000001</v>
      </c>
      <c r="F540" s="64">
        <f>9.8879 * CHOOSE(CONTROL!$C$22, $C$13, 100%, $E$13)</f>
        <v>9.8879000000000001</v>
      </c>
      <c r="G540" s="64">
        <f>9.888 * CHOOSE(CONTROL!$C$22, $C$13, 100%, $E$13)</f>
        <v>9.8879999999999999</v>
      </c>
      <c r="H540" s="64">
        <f>16.7731* CHOOSE(CONTROL!$C$22, $C$13, 100%, $E$13)</f>
        <v>16.773099999999999</v>
      </c>
      <c r="I540" s="64">
        <f>16.7733 * CHOOSE(CONTROL!$C$22, $C$13, 100%, $E$13)</f>
        <v>16.773299999999999</v>
      </c>
      <c r="J540" s="64">
        <f>9.8879 * CHOOSE(CONTROL!$C$22, $C$13, 100%, $E$13)</f>
        <v>9.8879000000000001</v>
      </c>
      <c r="K540" s="64">
        <f>9.888 * CHOOSE(CONTROL!$C$22, $C$13, 100%, $E$13)</f>
        <v>9.8879999999999999</v>
      </c>
    </row>
    <row r="541" spans="1:11" ht="15">
      <c r="A541" s="13">
        <v>58107</v>
      </c>
      <c r="B541" s="63">
        <f>8.491 * CHOOSE(CONTROL!$C$22, $C$13, 100%, $E$13)</f>
        <v>8.4909999999999997</v>
      </c>
      <c r="C541" s="63">
        <f>8.491 * CHOOSE(CONTROL!$C$22, $C$13, 100%, $E$13)</f>
        <v>8.4909999999999997</v>
      </c>
      <c r="D541" s="63">
        <f>8.511 * CHOOSE(CONTROL!$C$22, $C$13, 100%, $E$13)</f>
        <v>8.5109999999999992</v>
      </c>
      <c r="E541" s="64">
        <f>9.7777 * CHOOSE(CONTROL!$C$22, $C$13, 100%, $E$13)</f>
        <v>9.7776999999999994</v>
      </c>
      <c r="F541" s="64">
        <f>9.7777 * CHOOSE(CONTROL!$C$22, $C$13, 100%, $E$13)</f>
        <v>9.7776999999999994</v>
      </c>
      <c r="G541" s="64">
        <f>9.7778 * CHOOSE(CONTROL!$C$22, $C$13, 100%, $E$13)</f>
        <v>9.7777999999999992</v>
      </c>
      <c r="H541" s="64">
        <f>16.8081* CHOOSE(CONTROL!$C$22, $C$13, 100%, $E$13)</f>
        <v>16.8081</v>
      </c>
      <c r="I541" s="64">
        <f>16.8083 * CHOOSE(CONTROL!$C$22, $C$13, 100%, $E$13)</f>
        <v>16.808299999999999</v>
      </c>
      <c r="J541" s="64">
        <f>9.7777 * CHOOSE(CONTROL!$C$22, $C$13, 100%, $E$13)</f>
        <v>9.7776999999999994</v>
      </c>
      <c r="K541" s="64">
        <f>9.7778 * CHOOSE(CONTROL!$C$22, $C$13, 100%, $E$13)</f>
        <v>9.7777999999999992</v>
      </c>
    </row>
    <row r="542" spans="1:11" ht="15">
      <c r="A542" s="13">
        <v>58135</v>
      </c>
      <c r="B542" s="63">
        <f>8.488 * CHOOSE(CONTROL!$C$22, $C$13, 100%, $E$13)</f>
        <v>8.4879999999999995</v>
      </c>
      <c r="C542" s="63">
        <f>8.488 * CHOOSE(CONTROL!$C$22, $C$13, 100%, $E$13)</f>
        <v>8.4879999999999995</v>
      </c>
      <c r="D542" s="63">
        <f>8.508 * CHOOSE(CONTROL!$C$22, $C$13, 100%, $E$13)</f>
        <v>8.5079999999999991</v>
      </c>
      <c r="E542" s="64">
        <f>9.8608 * CHOOSE(CONTROL!$C$22, $C$13, 100%, $E$13)</f>
        <v>9.8607999999999993</v>
      </c>
      <c r="F542" s="64">
        <f>9.8608 * CHOOSE(CONTROL!$C$22, $C$13, 100%, $E$13)</f>
        <v>9.8607999999999993</v>
      </c>
      <c r="G542" s="64">
        <f>9.8609 * CHOOSE(CONTROL!$C$22, $C$13, 100%, $E$13)</f>
        <v>9.8609000000000009</v>
      </c>
      <c r="H542" s="64">
        <f>16.8431* CHOOSE(CONTROL!$C$22, $C$13, 100%, $E$13)</f>
        <v>16.8431</v>
      </c>
      <c r="I542" s="64">
        <f>16.8433 * CHOOSE(CONTROL!$C$22, $C$13, 100%, $E$13)</f>
        <v>16.843299999999999</v>
      </c>
      <c r="J542" s="64">
        <f>9.8608 * CHOOSE(CONTROL!$C$22, $C$13, 100%, $E$13)</f>
        <v>9.8607999999999993</v>
      </c>
      <c r="K542" s="64">
        <f>9.8609 * CHOOSE(CONTROL!$C$22, $C$13, 100%, $E$13)</f>
        <v>9.8609000000000009</v>
      </c>
    </row>
    <row r="543" spans="1:11" ht="15">
      <c r="A543" s="13">
        <v>58166</v>
      </c>
      <c r="B543" s="63">
        <f>8.4896 * CHOOSE(CONTROL!$C$22, $C$13, 100%, $E$13)</f>
        <v>8.4895999999999994</v>
      </c>
      <c r="C543" s="63">
        <f>8.4896 * CHOOSE(CONTROL!$C$22, $C$13, 100%, $E$13)</f>
        <v>8.4895999999999994</v>
      </c>
      <c r="D543" s="63">
        <f>8.5095 * CHOOSE(CONTROL!$C$22, $C$13, 100%, $E$13)</f>
        <v>8.5094999999999992</v>
      </c>
      <c r="E543" s="64">
        <f>9.948 * CHOOSE(CONTROL!$C$22, $C$13, 100%, $E$13)</f>
        <v>9.9480000000000004</v>
      </c>
      <c r="F543" s="64">
        <f>9.948 * CHOOSE(CONTROL!$C$22, $C$13, 100%, $E$13)</f>
        <v>9.9480000000000004</v>
      </c>
      <c r="G543" s="64">
        <f>9.9482 * CHOOSE(CONTROL!$C$22, $C$13, 100%, $E$13)</f>
        <v>9.9481999999999999</v>
      </c>
      <c r="H543" s="64">
        <f>16.8782* CHOOSE(CONTROL!$C$22, $C$13, 100%, $E$13)</f>
        <v>16.8782</v>
      </c>
      <c r="I543" s="64">
        <f>16.8784 * CHOOSE(CONTROL!$C$22, $C$13, 100%, $E$13)</f>
        <v>16.878399999999999</v>
      </c>
      <c r="J543" s="64">
        <f>9.948 * CHOOSE(CONTROL!$C$22, $C$13, 100%, $E$13)</f>
        <v>9.9480000000000004</v>
      </c>
      <c r="K543" s="64">
        <f>9.9482 * CHOOSE(CONTROL!$C$22, $C$13, 100%, $E$13)</f>
        <v>9.9481999999999999</v>
      </c>
    </row>
    <row r="544" spans="1:11" ht="15">
      <c r="A544" s="13">
        <v>58196</v>
      </c>
      <c r="B544" s="63">
        <f>8.4896 * CHOOSE(CONTROL!$C$22, $C$13, 100%, $E$13)</f>
        <v>8.4895999999999994</v>
      </c>
      <c r="C544" s="63">
        <f>8.4896 * CHOOSE(CONTROL!$C$22, $C$13, 100%, $E$13)</f>
        <v>8.4895999999999994</v>
      </c>
      <c r="D544" s="63">
        <f>8.5295 * CHOOSE(CONTROL!$C$22, $C$13, 100%, $E$13)</f>
        <v>8.5295000000000005</v>
      </c>
      <c r="E544" s="64">
        <f>9.9823 * CHOOSE(CONTROL!$C$22, $C$13, 100%, $E$13)</f>
        <v>9.9823000000000004</v>
      </c>
      <c r="F544" s="64">
        <f>9.9823 * CHOOSE(CONTROL!$C$22, $C$13, 100%, $E$13)</f>
        <v>9.9823000000000004</v>
      </c>
      <c r="G544" s="64">
        <f>9.9848 * CHOOSE(CONTROL!$C$22, $C$13, 100%, $E$13)</f>
        <v>9.9847999999999999</v>
      </c>
      <c r="H544" s="64">
        <f>16.9134* CHOOSE(CONTROL!$C$22, $C$13, 100%, $E$13)</f>
        <v>16.913399999999999</v>
      </c>
      <c r="I544" s="64">
        <f>16.9158 * CHOOSE(CONTROL!$C$22, $C$13, 100%, $E$13)</f>
        <v>16.915800000000001</v>
      </c>
      <c r="J544" s="64">
        <f>9.9823 * CHOOSE(CONTROL!$C$22, $C$13, 100%, $E$13)</f>
        <v>9.9823000000000004</v>
      </c>
      <c r="K544" s="64">
        <f>9.9848 * CHOOSE(CONTROL!$C$22, $C$13, 100%, $E$13)</f>
        <v>9.9847999999999999</v>
      </c>
    </row>
    <row r="545" spans="1:11" ht="15">
      <c r="A545" s="13">
        <v>58227</v>
      </c>
      <c r="B545" s="63">
        <f>8.4957 * CHOOSE(CONTROL!$C$22, $C$13, 100%, $E$13)</f>
        <v>8.4956999999999994</v>
      </c>
      <c r="C545" s="63">
        <f>8.4957 * CHOOSE(CONTROL!$C$22, $C$13, 100%, $E$13)</f>
        <v>8.4956999999999994</v>
      </c>
      <c r="D545" s="63">
        <f>8.5356 * CHOOSE(CONTROL!$C$22, $C$13, 100%, $E$13)</f>
        <v>8.5356000000000005</v>
      </c>
      <c r="E545" s="64">
        <f>9.9523 * CHOOSE(CONTROL!$C$22, $C$13, 100%, $E$13)</f>
        <v>9.9522999999999993</v>
      </c>
      <c r="F545" s="64">
        <f>9.9523 * CHOOSE(CONTROL!$C$22, $C$13, 100%, $E$13)</f>
        <v>9.9522999999999993</v>
      </c>
      <c r="G545" s="64">
        <f>9.9547 * CHOOSE(CONTROL!$C$22, $C$13, 100%, $E$13)</f>
        <v>9.9547000000000008</v>
      </c>
      <c r="H545" s="64">
        <f>16.9486* CHOOSE(CONTROL!$C$22, $C$13, 100%, $E$13)</f>
        <v>16.948599999999999</v>
      </c>
      <c r="I545" s="64">
        <f>16.951 * CHOOSE(CONTROL!$C$22, $C$13, 100%, $E$13)</f>
        <v>16.951000000000001</v>
      </c>
      <c r="J545" s="64">
        <f>9.9523 * CHOOSE(CONTROL!$C$22, $C$13, 100%, $E$13)</f>
        <v>9.9522999999999993</v>
      </c>
      <c r="K545" s="64">
        <f>9.9547 * CHOOSE(CONTROL!$C$22, $C$13, 100%, $E$13)</f>
        <v>9.9547000000000008</v>
      </c>
    </row>
    <row r="546" spans="1:11" ht="15">
      <c r="A546" s="13">
        <v>58257</v>
      </c>
      <c r="B546" s="63">
        <f>8.6328 * CHOOSE(CONTROL!$C$22, $C$13, 100%, $E$13)</f>
        <v>8.6327999999999996</v>
      </c>
      <c r="C546" s="63">
        <f>8.6328 * CHOOSE(CONTROL!$C$22, $C$13, 100%, $E$13)</f>
        <v>8.6327999999999996</v>
      </c>
      <c r="D546" s="63">
        <f>8.6727 * CHOOSE(CONTROL!$C$22, $C$13, 100%, $E$13)</f>
        <v>8.6727000000000007</v>
      </c>
      <c r="E546" s="64">
        <f>10.1458 * CHOOSE(CONTROL!$C$22, $C$13, 100%, $E$13)</f>
        <v>10.145799999999999</v>
      </c>
      <c r="F546" s="64">
        <f>10.1458 * CHOOSE(CONTROL!$C$22, $C$13, 100%, $E$13)</f>
        <v>10.145799999999999</v>
      </c>
      <c r="G546" s="64">
        <f>10.1482 * CHOOSE(CONTROL!$C$22, $C$13, 100%, $E$13)</f>
        <v>10.148199999999999</v>
      </c>
      <c r="H546" s="64">
        <f>16.9839* CHOOSE(CONTROL!$C$22, $C$13, 100%, $E$13)</f>
        <v>16.983899999999998</v>
      </c>
      <c r="I546" s="64">
        <f>16.9863 * CHOOSE(CONTROL!$C$22, $C$13, 100%, $E$13)</f>
        <v>16.9863</v>
      </c>
      <c r="J546" s="64">
        <f>10.1458 * CHOOSE(CONTROL!$C$22, $C$13, 100%, $E$13)</f>
        <v>10.145799999999999</v>
      </c>
      <c r="K546" s="64">
        <f>10.1482 * CHOOSE(CONTROL!$C$22, $C$13, 100%, $E$13)</f>
        <v>10.148199999999999</v>
      </c>
    </row>
    <row r="547" spans="1:11" ht="15">
      <c r="A547" s="13">
        <v>58288</v>
      </c>
      <c r="B547" s="63">
        <f>8.6395 * CHOOSE(CONTROL!$C$22, $C$13, 100%, $E$13)</f>
        <v>8.6395</v>
      </c>
      <c r="C547" s="63">
        <f>8.6395 * CHOOSE(CONTROL!$C$22, $C$13, 100%, $E$13)</f>
        <v>8.6395</v>
      </c>
      <c r="D547" s="63">
        <f>8.6794 * CHOOSE(CONTROL!$C$22, $C$13, 100%, $E$13)</f>
        <v>8.6793999999999993</v>
      </c>
      <c r="E547" s="64">
        <f>10.0475 * CHOOSE(CONTROL!$C$22, $C$13, 100%, $E$13)</f>
        <v>10.047499999999999</v>
      </c>
      <c r="F547" s="64">
        <f>10.0475 * CHOOSE(CONTROL!$C$22, $C$13, 100%, $E$13)</f>
        <v>10.047499999999999</v>
      </c>
      <c r="G547" s="64">
        <f>10.0499 * CHOOSE(CONTROL!$C$22, $C$13, 100%, $E$13)</f>
        <v>10.049899999999999</v>
      </c>
      <c r="H547" s="64">
        <f>17.0193* CHOOSE(CONTROL!$C$22, $C$13, 100%, $E$13)</f>
        <v>17.019300000000001</v>
      </c>
      <c r="I547" s="64">
        <f>17.0217 * CHOOSE(CONTROL!$C$22, $C$13, 100%, $E$13)</f>
        <v>17.021699999999999</v>
      </c>
      <c r="J547" s="64">
        <f>10.0475 * CHOOSE(CONTROL!$C$22, $C$13, 100%, $E$13)</f>
        <v>10.047499999999999</v>
      </c>
      <c r="K547" s="64">
        <f>10.0499 * CHOOSE(CONTROL!$C$22, $C$13, 100%, $E$13)</f>
        <v>10.049899999999999</v>
      </c>
    </row>
    <row r="548" spans="1:11" ht="15">
      <c r="A548" s="13">
        <v>58319</v>
      </c>
      <c r="B548" s="63">
        <f>8.6364 * CHOOSE(CONTROL!$C$22, $C$13, 100%, $E$13)</f>
        <v>8.6364000000000001</v>
      </c>
      <c r="C548" s="63">
        <f>8.6364 * CHOOSE(CONTROL!$C$22, $C$13, 100%, $E$13)</f>
        <v>8.6364000000000001</v>
      </c>
      <c r="D548" s="63">
        <f>8.6764 * CHOOSE(CONTROL!$C$22, $C$13, 100%, $E$13)</f>
        <v>8.6763999999999992</v>
      </c>
      <c r="E548" s="64">
        <f>10.0339 * CHOOSE(CONTROL!$C$22, $C$13, 100%, $E$13)</f>
        <v>10.033899999999999</v>
      </c>
      <c r="F548" s="64">
        <f>10.0339 * CHOOSE(CONTROL!$C$22, $C$13, 100%, $E$13)</f>
        <v>10.033899999999999</v>
      </c>
      <c r="G548" s="64">
        <f>10.0364 * CHOOSE(CONTROL!$C$22, $C$13, 100%, $E$13)</f>
        <v>10.0364</v>
      </c>
      <c r="H548" s="64">
        <f>17.0547* CHOOSE(CONTROL!$C$22, $C$13, 100%, $E$13)</f>
        <v>17.0547</v>
      </c>
      <c r="I548" s="64">
        <f>17.0572 * CHOOSE(CONTROL!$C$22, $C$13, 100%, $E$13)</f>
        <v>17.057200000000002</v>
      </c>
      <c r="J548" s="64">
        <f>10.0339 * CHOOSE(CONTROL!$C$22, $C$13, 100%, $E$13)</f>
        <v>10.033899999999999</v>
      </c>
      <c r="K548" s="64">
        <f>10.0364 * CHOOSE(CONTROL!$C$22, $C$13, 100%, $E$13)</f>
        <v>10.0364</v>
      </c>
    </row>
    <row r="549" spans="1:11" ht="15">
      <c r="A549" s="13">
        <v>58349</v>
      </c>
      <c r="B549" s="63">
        <f>8.6471 * CHOOSE(CONTROL!$C$22, $C$13, 100%, $E$13)</f>
        <v>8.6471</v>
      </c>
      <c r="C549" s="63">
        <f>8.6471 * CHOOSE(CONTROL!$C$22, $C$13, 100%, $E$13)</f>
        <v>8.6471</v>
      </c>
      <c r="D549" s="63">
        <f>8.667 * CHOOSE(CONTROL!$C$22, $C$13, 100%, $E$13)</f>
        <v>8.6669999999999998</v>
      </c>
      <c r="E549" s="64">
        <f>10.0663 * CHOOSE(CONTROL!$C$22, $C$13, 100%, $E$13)</f>
        <v>10.0663</v>
      </c>
      <c r="F549" s="64">
        <f>10.0663 * CHOOSE(CONTROL!$C$22, $C$13, 100%, $E$13)</f>
        <v>10.0663</v>
      </c>
      <c r="G549" s="64">
        <f>10.0665 * CHOOSE(CONTROL!$C$22, $C$13, 100%, $E$13)</f>
        <v>10.0665</v>
      </c>
      <c r="H549" s="64">
        <f>17.0903* CHOOSE(CONTROL!$C$22, $C$13, 100%, $E$13)</f>
        <v>17.090299999999999</v>
      </c>
      <c r="I549" s="64">
        <f>17.0904 * CHOOSE(CONTROL!$C$22, $C$13, 100%, $E$13)</f>
        <v>17.090399999999999</v>
      </c>
      <c r="J549" s="64">
        <f>10.0663 * CHOOSE(CONTROL!$C$22, $C$13, 100%, $E$13)</f>
        <v>10.0663</v>
      </c>
      <c r="K549" s="64">
        <f>10.0665 * CHOOSE(CONTROL!$C$22, $C$13, 100%, $E$13)</f>
        <v>10.0665</v>
      </c>
    </row>
    <row r="550" spans="1:11" ht="15">
      <c r="A550" s="13">
        <v>58380</v>
      </c>
      <c r="B550" s="63">
        <f>8.6501 * CHOOSE(CONTROL!$C$22, $C$13, 100%, $E$13)</f>
        <v>8.6501000000000001</v>
      </c>
      <c r="C550" s="63">
        <f>8.6501 * CHOOSE(CONTROL!$C$22, $C$13, 100%, $E$13)</f>
        <v>8.6501000000000001</v>
      </c>
      <c r="D550" s="63">
        <f>8.6701 * CHOOSE(CONTROL!$C$22, $C$13, 100%, $E$13)</f>
        <v>8.6700999999999997</v>
      </c>
      <c r="E550" s="64">
        <f>10.0913 * CHOOSE(CONTROL!$C$22, $C$13, 100%, $E$13)</f>
        <v>10.0913</v>
      </c>
      <c r="F550" s="64">
        <f>10.0913 * CHOOSE(CONTROL!$C$22, $C$13, 100%, $E$13)</f>
        <v>10.0913</v>
      </c>
      <c r="G550" s="64">
        <f>10.0914 * CHOOSE(CONTROL!$C$22, $C$13, 100%, $E$13)</f>
        <v>10.0914</v>
      </c>
      <c r="H550" s="64">
        <f>17.1259* CHOOSE(CONTROL!$C$22, $C$13, 100%, $E$13)</f>
        <v>17.125900000000001</v>
      </c>
      <c r="I550" s="64">
        <f>17.1261 * CHOOSE(CONTROL!$C$22, $C$13, 100%, $E$13)</f>
        <v>17.126100000000001</v>
      </c>
      <c r="J550" s="64">
        <f>10.0913 * CHOOSE(CONTROL!$C$22, $C$13, 100%, $E$13)</f>
        <v>10.0913</v>
      </c>
      <c r="K550" s="64">
        <f>10.0914 * CHOOSE(CONTROL!$C$22, $C$13, 100%, $E$13)</f>
        <v>10.0914</v>
      </c>
    </row>
    <row r="551" spans="1:11" ht="15">
      <c r="A551" s="13">
        <v>58410</v>
      </c>
      <c r="B551" s="63">
        <f>8.6501 * CHOOSE(CONTROL!$C$22, $C$13, 100%, $E$13)</f>
        <v>8.6501000000000001</v>
      </c>
      <c r="C551" s="63">
        <f>8.6501 * CHOOSE(CONTROL!$C$22, $C$13, 100%, $E$13)</f>
        <v>8.6501000000000001</v>
      </c>
      <c r="D551" s="63">
        <f>8.6701 * CHOOSE(CONTROL!$C$22, $C$13, 100%, $E$13)</f>
        <v>8.6700999999999997</v>
      </c>
      <c r="E551" s="64">
        <f>10.0341 * CHOOSE(CONTROL!$C$22, $C$13, 100%, $E$13)</f>
        <v>10.0341</v>
      </c>
      <c r="F551" s="64">
        <f>10.0341 * CHOOSE(CONTROL!$C$22, $C$13, 100%, $E$13)</f>
        <v>10.0341</v>
      </c>
      <c r="G551" s="64">
        <f>10.0343 * CHOOSE(CONTROL!$C$22, $C$13, 100%, $E$13)</f>
        <v>10.0343</v>
      </c>
      <c r="H551" s="64">
        <f>17.1616* CHOOSE(CONTROL!$C$22, $C$13, 100%, $E$13)</f>
        <v>17.1616</v>
      </c>
      <c r="I551" s="64">
        <f>17.1617 * CHOOSE(CONTROL!$C$22, $C$13, 100%, $E$13)</f>
        <v>17.1617</v>
      </c>
      <c r="J551" s="64">
        <f>10.0341 * CHOOSE(CONTROL!$C$22, $C$13, 100%, $E$13)</f>
        <v>10.0341</v>
      </c>
      <c r="K551" s="64">
        <f>10.0343 * CHOOSE(CONTROL!$C$22, $C$13, 100%, $E$13)</f>
        <v>10.0343</v>
      </c>
    </row>
    <row r="552" spans="1:11" ht="15">
      <c r="A552" s="13">
        <v>58441</v>
      </c>
      <c r="B552" s="63">
        <f>8.7264 * CHOOSE(CONTROL!$C$22, $C$13, 100%, $E$13)</f>
        <v>8.7263999999999999</v>
      </c>
      <c r="C552" s="63">
        <f>8.7264 * CHOOSE(CONTROL!$C$22, $C$13, 100%, $E$13)</f>
        <v>8.7263999999999999</v>
      </c>
      <c r="D552" s="63">
        <f>8.7464 * CHOOSE(CONTROL!$C$22, $C$13, 100%, $E$13)</f>
        <v>8.7463999999999995</v>
      </c>
      <c r="E552" s="64">
        <f>10.1646 * CHOOSE(CONTROL!$C$22, $C$13, 100%, $E$13)</f>
        <v>10.1646</v>
      </c>
      <c r="F552" s="64">
        <f>10.1646 * CHOOSE(CONTROL!$C$22, $C$13, 100%, $E$13)</f>
        <v>10.1646</v>
      </c>
      <c r="G552" s="64">
        <f>10.1647 * CHOOSE(CONTROL!$C$22, $C$13, 100%, $E$13)</f>
        <v>10.1647</v>
      </c>
      <c r="H552" s="64">
        <f>17.1973* CHOOSE(CONTROL!$C$22, $C$13, 100%, $E$13)</f>
        <v>17.197299999999998</v>
      </c>
      <c r="I552" s="64">
        <f>17.1975 * CHOOSE(CONTROL!$C$22, $C$13, 100%, $E$13)</f>
        <v>17.197500000000002</v>
      </c>
      <c r="J552" s="64">
        <f>10.1646 * CHOOSE(CONTROL!$C$22, $C$13, 100%, $E$13)</f>
        <v>10.1646</v>
      </c>
      <c r="K552" s="64">
        <f>10.1647 * CHOOSE(CONTROL!$C$22, $C$13, 100%, $E$13)</f>
        <v>10.1647</v>
      </c>
    </row>
    <row r="553" spans="1:11" ht="15">
      <c r="A553" s="13">
        <v>58472</v>
      </c>
      <c r="B553" s="63">
        <f>8.7233 * CHOOSE(CONTROL!$C$22, $C$13, 100%, $E$13)</f>
        <v>8.7233000000000001</v>
      </c>
      <c r="C553" s="63">
        <f>8.7233 * CHOOSE(CONTROL!$C$22, $C$13, 100%, $E$13)</f>
        <v>8.7233000000000001</v>
      </c>
      <c r="D553" s="63">
        <f>8.7433 * CHOOSE(CONTROL!$C$22, $C$13, 100%, $E$13)</f>
        <v>8.7432999999999996</v>
      </c>
      <c r="E553" s="64">
        <f>10.0513 * CHOOSE(CONTROL!$C$22, $C$13, 100%, $E$13)</f>
        <v>10.051299999999999</v>
      </c>
      <c r="F553" s="64">
        <f>10.0513 * CHOOSE(CONTROL!$C$22, $C$13, 100%, $E$13)</f>
        <v>10.051299999999999</v>
      </c>
      <c r="G553" s="64">
        <f>10.0515 * CHOOSE(CONTROL!$C$22, $C$13, 100%, $E$13)</f>
        <v>10.051500000000001</v>
      </c>
      <c r="H553" s="64">
        <f>17.2331* CHOOSE(CONTROL!$C$22, $C$13, 100%, $E$13)</f>
        <v>17.2331</v>
      </c>
      <c r="I553" s="64">
        <f>17.2333 * CHOOSE(CONTROL!$C$22, $C$13, 100%, $E$13)</f>
        <v>17.2333</v>
      </c>
      <c r="J553" s="64">
        <f>10.0513 * CHOOSE(CONTROL!$C$22, $C$13, 100%, $E$13)</f>
        <v>10.051299999999999</v>
      </c>
      <c r="K553" s="64">
        <f>10.0515 * CHOOSE(CONTROL!$C$22, $C$13, 100%, $E$13)</f>
        <v>10.051500000000001</v>
      </c>
    </row>
    <row r="554" spans="1:11" ht="15">
      <c r="A554" s="13">
        <v>58501</v>
      </c>
      <c r="B554" s="63">
        <f>8.7203 * CHOOSE(CONTROL!$C$22, $C$13, 100%, $E$13)</f>
        <v>8.7202999999999999</v>
      </c>
      <c r="C554" s="63">
        <f>8.7203 * CHOOSE(CONTROL!$C$22, $C$13, 100%, $E$13)</f>
        <v>8.7202999999999999</v>
      </c>
      <c r="D554" s="63">
        <f>8.7403 * CHOOSE(CONTROL!$C$22, $C$13, 100%, $E$13)</f>
        <v>8.7402999999999995</v>
      </c>
      <c r="E554" s="64">
        <f>10.1368 * CHOOSE(CONTROL!$C$22, $C$13, 100%, $E$13)</f>
        <v>10.136799999999999</v>
      </c>
      <c r="F554" s="64">
        <f>10.1368 * CHOOSE(CONTROL!$C$22, $C$13, 100%, $E$13)</f>
        <v>10.136799999999999</v>
      </c>
      <c r="G554" s="64">
        <f>10.137 * CHOOSE(CONTROL!$C$22, $C$13, 100%, $E$13)</f>
        <v>10.137</v>
      </c>
      <c r="H554" s="64">
        <f>17.269* CHOOSE(CONTROL!$C$22, $C$13, 100%, $E$13)</f>
        <v>17.268999999999998</v>
      </c>
      <c r="I554" s="64">
        <f>17.2692 * CHOOSE(CONTROL!$C$22, $C$13, 100%, $E$13)</f>
        <v>17.269200000000001</v>
      </c>
      <c r="J554" s="64">
        <f>10.1368 * CHOOSE(CONTROL!$C$22, $C$13, 100%, $E$13)</f>
        <v>10.136799999999999</v>
      </c>
      <c r="K554" s="64">
        <f>10.137 * CHOOSE(CONTROL!$C$22, $C$13, 100%, $E$13)</f>
        <v>10.137</v>
      </c>
    </row>
    <row r="555" spans="1:11" ht="15">
      <c r="A555" s="13">
        <v>58532</v>
      </c>
      <c r="B555" s="63">
        <f>8.7221 * CHOOSE(CONTROL!$C$22, $C$13, 100%, $E$13)</f>
        <v>8.7220999999999993</v>
      </c>
      <c r="C555" s="63">
        <f>8.7221 * CHOOSE(CONTROL!$C$22, $C$13, 100%, $E$13)</f>
        <v>8.7220999999999993</v>
      </c>
      <c r="D555" s="63">
        <f>8.742 * CHOOSE(CONTROL!$C$22, $C$13, 100%, $E$13)</f>
        <v>8.7420000000000009</v>
      </c>
      <c r="E555" s="64">
        <f>10.2266 * CHOOSE(CONTROL!$C$22, $C$13, 100%, $E$13)</f>
        <v>10.226599999999999</v>
      </c>
      <c r="F555" s="64">
        <f>10.2266 * CHOOSE(CONTROL!$C$22, $C$13, 100%, $E$13)</f>
        <v>10.226599999999999</v>
      </c>
      <c r="G555" s="64">
        <f>10.2268 * CHOOSE(CONTROL!$C$22, $C$13, 100%, $E$13)</f>
        <v>10.226800000000001</v>
      </c>
      <c r="H555" s="64">
        <f>17.305* CHOOSE(CONTROL!$C$22, $C$13, 100%, $E$13)</f>
        <v>17.305</v>
      </c>
      <c r="I555" s="64">
        <f>17.3052 * CHOOSE(CONTROL!$C$22, $C$13, 100%, $E$13)</f>
        <v>17.305199999999999</v>
      </c>
      <c r="J555" s="64">
        <f>10.2266 * CHOOSE(CONTROL!$C$22, $C$13, 100%, $E$13)</f>
        <v>10.226599999999999</v>
      </c>
      <c r="K555" s="64">
        <f>10.2268 * CHOOSE(CONTROL!$C$22, $C$13, 100%, $E$13)</f>
        <v>10.226800000000001</v>
      </c>
    </row>
    <row r="556" spans="1:11" ht="15">
      <c r="A556" s="13">
        <v>58562</v>
      </c>
      <c r="B556" s="63">
        <f>8.7221 * CHOOSE(CONTROL!$C$22, $C$13, 100%, $E$13)</f>
        <v>8.7220999999999993</v>
      </c>
      <c r="C556" s="63">
        <f>8.7221 * CHOOSE(CONTROL!$C$22, $C$13, 100%, $E$13)</f>
        <v>8.7220999999999993</v>
      </c>
      <c r="D556" s="63">
        <f>8.762 * CHOOSE(CONTROL!$C$22, $C$13, 100%, $E$13)</f>
        <v>8.7620000000000005</v>
      </c>
      <c r="E556" s="64">
        <f>10.2619 * CHOOSE(CONTROL!$C$22, $C$13, 100%, $E$13)</f>
        <v>10.261900000000001</v>
      </c>
      <c r="F556" s="64">
        <f>10.2619 * CHOOSE(CONTROL!$C$22, $C$13, 100%, $E$13)</f>
        <v>10.261900000000001</v>
      </c>
      <c r="G556" s="64">
        <f>10.2644 * CHOOSE(CONTROL!$C$22, $C$13, 100%, $E$13)</f>
        <v>10.2644</v>
      </c>
      <c r="H556" s="64">
        <f>17.3411* CHOOSE(CONTROL!$C$22, $C$13, 100%, $E$13)</f>
        <v>17.341100000000001</v>
      </c>
      <c r="I556" s="64">
        <f>17.3435 * CHOOSE(CONTROL!$C$22, $C$13, 100%, $E$13)</f>
        <v>17.343499999999999</v>
      </c>
      <c r="J556" s="64">
        <f>10.2619 * CHOOSE(CONTROL!$C$22, $C$13, 100%, $E$13)</f>
        <v>10.261900000000001</v>
      </c>
      <c r="K556" s="64">
        <f>10.2644 * CHOOSE(CONTROL!$C$22, $C$13, 100%, $E$13)</f>
        <v>10.2644</v>
      </c>
    </row>
    <row r="557" spans="1:11" ht="15">
      <c r="A557" s="13">
        <v>58593</v>
      </c>
      <c r="B557" s="63">
        <f>8.7282 * CHOOSE(CONTROL!$C$22, $C$13, 100%, $E$13)</f>
        <v>8.7281999999999993</v>
      </c>
      <c r="C557" s="63">
        <f>8.7282 * CHOOSE(CONTROL!$C$22, $C$13, 100%, $E$13)</f>
        <v>8.7281999999999993</v>
      </c>
      <c r="D557" s="63">
        <f>8.7681 * CHOOSE(CONTROL!$C$22, $C$13, 100%, $E$13)</f>
        <v>8.7681000000000004</v>
      </c>
      <c r="E557" s="64">
        <f>10.2309 * CHOOSE(CONTROL!$C$22, $C$13, 100%, $E$13)</f>
        <v>10.2309</v>
      </c>
      <c r="F557" s="64">
        <f>10.2309 * CHOOSE(CONTROL!$C$22, $C$13, 100%, $E$13)</f>
        <v>10.2309</v>
      </c>
      <c r="G557" s="64">
        <f>10.2333 * CHOOSE(CONTROL!$C$22, $C$13, 100%, $E$13)</f>
        <v>10.2333</v>
      </c>
      <c r="H557" s="64">
        <f>17.3772* CHOOSE(CONTROL!$C$22, $C$13, 100%, $E$13)</f>
        <v>17.377199999999998</v>
      </c>
      <c r="I557" s="64">
        <f>17.3796 * CHOOSE(CONTROL!$C$22, $C$13, 100%, $E$13)</f>
        <v>17.3796</v>
      </c>
      <c r="J557" s="64">
        <f>10.2309 * CHOOSE(CONTROL!$C$22, $C$13, 100%, $E$13)</f>
        <v>10.2309</v>
      </c>
      <c r="K557" s="64">
        <f>10.2333 * CHOOSE(CONTROL!$C$22, $C$13, 100%, $E$13)</f>
        <v>10.2333</v>
      </c>
    </row>
    <row r="558" spans="1:11" ht="15">
      <c r="A558" s="13">
        <v>58623</v>
      </c>
      <c r="B558" s="63">
        <f>8.8688 * CHOOSE(CONTROL!$C$22, $C$13, 100%, $E$13)</f>
        <v>8.8688000000000002</v>
      </c>
      <c r="C558" s="63">
        <f>8.8688 * CHOOSE(CONTROL!$C$22, $C$13, 100%, $E$13)</f>
        <v>8.8688000000000002</v>
      </c>
      <c r="D558" s="63">
        <f>8.9087 * CHOOSE(CONTROL!$C$22, $C$13, 100%, $E$13)</f>
        <v>8.9086999999999996</v>
      </c>
      <c r="E558" s="64">
        <f>10.4296 * CHOOSE(CONTROL!$C$22, $C$13, 100%, $E$13)</f>
        <v>10.429600000000001</v>
      </c>
      <c r="F558" s="64">
        <f>10.4296 * CHOOSE(CONTROL!$C$22, $C$13, 100%, $E$13)</f>
        <v>10.429600000000001</v>
      </c>
      <c r="G558" s="64">
        <f>10.432 * CHOOSE(CONTROL!$C$22, $C$13, 100%, $E$13)</f>
        <v>10.432</v>
      </c>
      <c r="H558" s="64">
        <f>17.4134* CHOOSE(CONTROL!$C$22, $C$13, 100%, $E$13)</f>
        <v>17.413399999999999</v>
      </c>
      <c r="I558" s="64">
        <f>17.4158 * CHOOSE(CONTROL!$C$22, $C$13, 100%, $E$13)</f>
        <v>17.415800000000001</v>
      </c>
      <c r="J558" s="64">
        <f>10.4296 * CHOOSE(CONTROL!$C$22, $C$13, 100%, $E$13)</f>
        <v>10.429600000000001</v>
      </c>
      <c r="K558" s="64">
        <f>10.432 * CHOOSE(CONTROL!$C$22, $C$13, 100%, $E$13)</f>
        <v>10.432</v>
      </c>
    </row>
    <row r="559" spans="1:11" ht="15">
      <c r="A559" s="13">
        <v>58654</v>
      </c>
      <c r="B559" s="63">
        <f>8.8755 * CHOOSE(CONTROL!$C$22, $C$13, 100%, $E$13)</f>
        <v>8.8755000000000006</v>
      </c>
      <c r="C559" s="63">
        <f>8.8755 * CHOOSE(CONTROL!$C$22, $C$13, 100%, $E$13)</f>
        <v>8.8755000000000006</v>
      </c>
      <c r="D559" s="63">
        <f>8.9154 * CHOOSE(CONTROL!$C$22, $C$13, 100%, $E$13)</f>
        <v>8.9154</v>
      </c>
      <c r="E559" s="64">
        <f>10.3284 * CHOOSE(CONTROL!$C$22, $C$13, 100%, $E$13)</f>
        <v>10.3284</v>
      </c>
      <c r="F559" s="64">
        <f>10.3284 * CHOOSE(CONTROL!$C$22, $C$13, 100%, $E$13)</f>
        <v>10.3284</v>
      </c>
      <c r="G559" s="64">
        <f>10.3308 * CHOOSE(CONTROL!$C$22, $C$13, 100%, $E$13)</f>
        <v>10.3308</v>
      </c>
      <c r="H559" s="64">
        <f>17.4497* CHOOSE(CONTROL!$C$22, $C$13, 100%, $E$13)</f>
        <v>17.4497</v>
      </c>
      <c r="I559" s="64">
        <f>17.4521 * CHOOSE(CONTROL!$C$22, $C$13, 100%, $E$13)</f>
        <v>17.452100000000002</v>
      </c>
      <c r="J559" s="64">
        <f>10.3284 * CHOOSE(CONTROL!$C$22, $C$13, 100%, $E$13)</f>
        <v>10.3284</v>
      </c>
      <c r="K559" s="64">
        <f>10.3308 * CHOOSE(CONTROL!$C$22, $C$13, 100%, $E$13)</f>
        <v>10.3308</v>
      </c>
    </row>
    <row r="560" spans="1:11" ht="15">
      <c r="A560" s="13">
        <v>58685</v>
      </c>
      <c r="B560" s="63">
        <f>8.8724 * CHOOSE(CONTROL!$C$22, $C$13, 100%, $E$13)</f>
        <v>8.8724000000000007</v>
      </c>
      <c r="C560" s="63">
        <f>8.8724 * CHOOSE(CONTROL!$C$22, $C$13, 100%, $E$13)</f>
        <v>8.8724000000000007</v>
      </c>
      <c r="D560" s="63">
        <f>8.9124 * CHOOSE(CONTROL!$C$22, $C$13, 100%, $E$13)</f>
        <v>8.9123999999999999</v>
      </c>
      <c r="E560" s="64">
        <f>10.3145 * CHOOSE(CONTROL!$C$22, $C$13, 100%, $E$13)</f>
        <v>10.314500000000001</v>
      </c>
      <c r="F560" s="64">
        <f>10.3145 * CHOOSE(CONTROL!$C$22, $C$13, 100%, $E$13)</f>
        <v>10.314500000000001</v>
      </c>
      <c r="G560" s="64">
        <f>10.317 * CHOOSE(CONTROL!$C$22, $C$13, 100%, $E$13)</f>
        <v>10.317</v>
      </c>
      <c r="H560" s="64">
        <f>17.486* CHOOSE(CONTROL!$C$22, $C$13, 100%, $E$13)</f>
        <v>17.486000000000001</v>
      </c>
      <c r="I560" s="64">
        <f>17.4885 * CHOOSE(CONTROL!$C$22, $C$13, 100%, $E$13)</f>
        <v>17.488499999999998</v>
      </c>
      <c r="J560" s="64">
        <f>10.3145 * CHOOSE(CONTROL!$C$22, $C$13, 100%, $E$13)</f>
        <v>10.314500000000001</v>
      </c>
      <c r="K560" s="64">
        <f>10.317 * CHOOSE(CONTROL!$C$22, $C$13, 100%, $E$13)</f>
        <v>10.317</v>
      </c>
    </row>
    <row r="561" spans="1:11" ht="15">
      <c r="A561" s="13">
        <v>58715</v>
      </c>
      <c r="B561" s="63">
        <f>8.8838 * CHOOSE(CONTROL!$C$22, $C$13, 100%, $E$13)</f>
        <v>8.8838000000000008</v>
      </c>
      <c r="C561" s="63">
        <f>8.8838 * CHOOSE(CONTROL!$C$22, $C$13, 100%, $E$13)</f>
        <v>8.8838000000000008</v>
      </c>
      <c r="D561" s="63">
        <f>8.9038 * CHOOSE(CONTROL!$C$22, $C$13, 100%, $E$13)</f>
        <v>8.9038000000000004</v>
      </c>
      <c r="E561" s="64">
        <f>10.3481 * CHOOSE(CONTROL!$C$22, $C$13, 100%, $E$13)</f>
        <v>10.348100000000001</v>
      </c>
      <c r="F561" s="64">
        <f>10.3481 * CHOOSE(CONTROL!$C$22, $C$13, 100%, $E$13)</f>
        <v>10.348100000000001</v>
      </c>
      <c r="G561" s="64">
        <f>10.3483 * CHOOSE(CONTROL!$C$22, $C$13, 100%, $E$13)</f>
        <v>10.3483</v>
      </c>
      <c r="H561" s="64">
        <f>17.5225* CHOOSE(CONTROL!$C$22, $C$13, 100%, $E$13)</f>
        <v>17.522500000000001</v>
      </c>
      <c r="I561" s="64">
        <f>17.5226 * CHOOSE(CONTROL!$C$22, $C$13, 100%, $E$13)</f>
        <v>17.522600000000001</v>
      </c>
      <c r="J561" s="64">
        <f>10.3481 * CHOOSE(CONTROL!$C$22, $C$13, 100%, $E$13)</f>
        <v>10.348100000000001</v>
      </c>
      <c r="K561" s="64">
        <f>10.3483 * CHOOSE(CONTROL!$C$22, $C$13, 100%, $E$13)</f>
        <v>10.3483</v>
      </c>
    </row>
    <row r="562" spans="1:11" ht="15">
      <c r="A562" s="13">
        <v>58746</v>
      </c>
      <c r="B562" s="63">
        <f>8.8868 * CHOOSE(CONTROL!$C$22, $C$13, 100%, $E$13)</f>
        <v>8.8867999999999991</v>
      </c>
      <c r="C562" s="63">
        <f>8.8868 * CHOOSE(CONTROL!$C$22, $C$13, 100%, $E$13)</f>
        <v>8.8867999999999991</v>
      </c>
      <c r="D562" s="63">
        <f>8.9068 * CHOOSE(CONTROL!$C$22, $C$13, 100%, $E$13)</f>
        <v>8.9068000000000005</v>
      </c>
      <c r="E562" s="64">
        <f>10.3738 * CHOOSE(CONTROL!$C$22, $C$13, 100%, $E$13)</f>
        <v>10.373799999999999</v>
      </c>
      <c r="F562" s="64">
        <f>10.3738 * CHOOSE(CONTROL!$C$22, $C$13, 100%, $E$13)</f>
        <v>10.373799999999999</v>
      </c>
      <c r="G562" s="64">
        <f>10.3739 * CHOOSE(CONTROL!$C$22, $C$13, 100%, $E$13)</f>
        <v>10.373900000000001</v>
      </c>
      <c r="H562" s="64">
        <f>17.559* CHOOSE(CONTROL!$C$22, $C$13, 100%, $E$13)</f>
        <v>17.559000000000001</v>
      </c>
      <c r="I562" s="64">
        <f>17.5591 * CHOOSE(CONTROL!$C$22, $C$13, 100%, $E$13)</f>
        <v>17.559100000000001</v>
      </c>
      <c r="J562" s="64">
        <f>10.3738 * CHOOSE(CONTROL!$C$22, $C$13, 100%, $E$13)</f>
        <v>10.373799999999999</v>
      </c>
      <c r="K562" s="64">
        <f>10.3739 * CHOOSE(CONTROL!$C$22, $C$13, 100%, $E$13)</f>
        <v>10.373900000000001</v>
      </c>
    </row>
    <row r="563" spans="1:11" ht="15">
      <c r="A563" s="13">
        <v>58776</v>
      </c>
      <c r="B563" s="63">
        <f>8.8868 * CHOOSE(CONTROL!$C$22, $C$13, 100%, $E$13)</f>
        <v>8.8867999999999991</v>
      </c>
      <c r="C563" s="63">
        <f>8.8868 * CHOOSE(CONTROL!$C$22, $C$13, 100%, $E$13)</f>
        <v>8.8867999999999991</v>
      </c>
      <c r="D563" s="63">
        <f>8.9068 * CHOOSE(CONTROL!$C$22, $C$13, 100%, $E$13)</f>
        <v>8.9068000000000005</v>
      </c>
      <c r="E563" s="64">
        <f>10.315 * CHOOSE(CONTROL!$C$22, $C$13, 100%, $E$13)</f>
        <v>10.315</v>
      </c>
      <c r="F563" s="64">
        <f>10.315 * CHOOSE(CONTROL!$C$22, $C$13, 100%, $E$13)</f>
        <v>10.315</v>
      </c>
      <c r="G563" s="64">
        <f>10.3151 * CHOOSE(CONTROL!$C$22, $C$13, 100%, $E$13)</f>
        <v>10.315099999999999</v>
      </c>
      <c r="H563" s="64">
        <f>17.5955* CHOOSE(CONTROL!$C$22, $C$13, 100%, $E$13)</f>
        <v>17.595500000000001</v>
      </c>
      <c r="I563" s="64">
        <f>17.5957 * CHOOSE(CONTROL!$C$22, $C$13, 100%, $E$13)</f>
        <v>17.595700000000001</v>
      </c>
      <c r="J563" s="64">
        <f>10.315 * CHOOSE(CONTROL!$C$22, $C$13, 100%, $E$13)</f>
        <v>10.315</v>
      </c>
      <c r="K563" s="64">
        <f>10.3151 * CHOOSE(CONTROL!$C$22, $C$13, 100%, $E$13)</f>
        <v>10.315099999999999</v>
      </c>
    </row>
    <row r="564" spans="1:11" ht="15">
      <c r="A564" s="13">
        <v>58807</v>
      </c>
      <c r="B564" s="63">
        <f>8.9651 * CHOOSE(CONTROL!$C$22, $C$13, 100%, $E$13)</f>
        <v>8.9650999999999996</v>
      </c>
      <c r="C564" s="63">
        <f>8.9651 * CHOOSE(CONTROL!$C$22, $C$13, 100%, $E$13)</f>
        <v>8.9650999999999996</v>
      </c>
      <c r="D564" s="63">
        <f>8.9851 * CHOOSE(CONTROL!$C$22, $C$13, 100%, $E$13)</f>
        <v>8.9850999999999992</v>
      </c>
      <c r="E564" s="64">
        <f>10.449 * CHOOSE(CONTROL!$C$22, $C$13, 100%, $E$13)</f>
        <v>10.449</v>
      </c>
      <c r="F564" s="64">
        <f>10.449 * CHOOSE(CONTROL!$C$22, $C$13, 100%, $E$13)</f>
        <v>10.449</v>
      </c>
      <c r="G564" s="64">
        <f>10.4492 * CHOOSE(CONTROL!$C$22, $C$13, 100%, $E$13)</f>
        <v>10.449199999999999</v>
      </c>
      <c r="H564" s="64">
        <f>17.6322* CHOOSE(CONTROL!$C$22, $C$13, 100%, $E$13)</f>
        <v>17.632200000000001</v>
      </c>
      <c r="I564" s="64">
        <f>17.6324 * CHOOSE(CONTROL!$C$22, $C$13, 100%, $E$13)</f>
        <v>17.632400000000001</v>
      </c>
      <c r="J564" s="64">
        <f>10.449 * CHOOSE(CONTROL!$C$22, $C$13, 100%, $E$13)</f>
        <v>10.449</v>
      </c>
      <c r="K564" s="64">
        <f>10.4492 * CHOOSE(CONTROL!$C$22, $C$13, 100%, $E$13)</f>
        <v>10.449199999999999</v>
      </c>
    </row>
    <row r="565" spans="1:11" ht="15">
      <c r="A565" s="13">
        <v>58838</v>
      </c>
      <c r="B565" s="63">
        <f>8.9621 * CHOOSE(CONTROL!$C$22, $C$13, 100%, $E$13)</f>
        <v>8.9620999999999995</v>
      </c>
      <c r="C565" s="63">
        <f>8.9621 * CHOOSE(CONTROL!$C$22, $C$13, 100%, $E$13)</f>
        <v>8.9620999999999995</v>
      </c>
      <c r="D565" s="63">
        <f>8.982 * CHOOSE(CONTROL!$C$22, $C$13, 100%, $E$13)</f>
        <v>8.9819999999999993</v>
      </c>
      <c r="E565" s="64">
        <f>10.3327 * CHOOSE(CONTROL!$C$22, $C$13, 100%, $E$13)</f>
        <v>10.332700000000001</v>
      </c>
      <c r="F565" s="64">
        <f>10.3327 * CHOOSE(CONTROL!$C$22, $C$13, 100%, $E$13)</f>
        <v>10.332700000000001</v>
      </c>
      <c r="G565" s="64">
        <f>10.3328 * CHOOSE(CONTROL!$C$22, $C$13, 100%, $E$13)</f>
        <v>10.332800000000001</v>
      </c>
      <c r="H565" s="64">
        <f>17.6689* CHOOSE(CONTROL!$C$22, $C$13, 100%, $E$13)</f>
        <v>17.668900000000001</v>
      </c>
      <c r="I565" s="64">
        <f>17.6691 * CHOOSE(CONTROL!$C$22, $C$13, 100%, $E$13)</f>
        <v>17.6691</v>
      </c>
      <c r="J565" s="64">
        <f>10.3327 * CHOOSE(CONTROL!$C$22, $C$13, 100%, $E$13)</f>
        <v>10.332700000000001</v>
      </c>
      <c r="K565" s="64">
        <f>10.3328 * CHOOSE(CONTROL!$C$22, $C$13, 100%, $E$13)</f>
        <v>10.332800000000001</v>
      </c>
    </row>
    <row r="566" spans="1:11" ht="15">
      <c r="A566" s="13">
        <v>58866</v>
      </c>
      <c r="B566" s="63">
        <f>8.959 * CHOOSE(CONTROL!$C$22, $C$13, 100%, $E$13)</f>
        <v>8.9589999999999996</v>
      </c>
      <c r="C566" s="63">
        <f>8.959 * CHOOSE(CONTROL!$C$22, $C$13, 100%, $E$13)</f>
        <v>8.9589999999999996</v>
      </c>
      <c r="D566" s="63">
        <f>8.979 * CHOOSE(CONTROL!$C$22, $C$13, 100%, $E$13)</f>
        <v>8.9789999999999992</v>
      </c>
      <c r="E566" s="64">
        <f>10.4206 * CHOOSE(CONTROL!$C$22, $C$13, 100%, $E$13)</f>
        <v>10.4206</v>
      </c>
      <c r="F566" s="64">
        <f>10.4206 * CHOOSE(CONTROL!$C$22, $C$13, 100%, $E$13)</f>
        <v>10.4206</v>
      </c>
      <c r="G566" s="64">
        <f>10.4208 * CHOOSE(CONTROL!$C$22, $C$13, 100%, $E$13)</f>
        <v>10.4208</v>
      </c>
      <c r="H566" s="64">
        <f>17.7057* CHOOSE(CONTROL!$C$22, $C$13, 100%, $E$13)</f>
        <v>17.7057</v>
      </c>
      <c r="I566" s="64">
        <f>17.7059 * CHOOSE(CONTROL!$C$22, $C$13, 100%, $E$13)</f>
        <v>17.7059</v>
      </c>
      <c r="J566" s="64">
        <f>10.4206 * CHOOSE(CONTROL!$C$22, $C$13, 100%, $E$13)</f>
        <v>10.4206</v>
      </c>
      <c r="K566" s="64">
        <f>10.4208 * CHOOSE(CONTROL!$C$22, $C$13, 100%, $E$13)</f>
        <v>10.4208</v>
      </c>
    </row>
    <row r="567" spans="1:11" ht="15">
      <c r="A567" s="13">
        <v>58897</v>
      </c>
      <c r="B567" s="63">
        <f>8.961 * CHOOSE(CONTROL!$C$22, $C$13, 100%, $E$13)</f>
        <v>8.9610000000000003</v>
      </c>
      <c r="C567" s="63">
        <f>8.961 * CHOOSE(CONTROL!$C$22, $C$13, 100%, $E$13)</f>
        <v>8.9610000000000003</v>
      </c>
      <c r="D567" s="63">
        <f>8.981 * CHOOSE(CONTROL!$C$22, $C$13, 100%, $E$13)</f>
        <v>8.9809999999999999</v>
      </c>
      <c r="E567" s="64">
        <f>10.5131 * CHOOSE(CONTROL!$C$22, $C$13, 100%, $E$13)</f>
        <v>10.5131</v>
      </c>
      <c r="F567" s="64">
        <f>10.5131 * CHOOSE(CONTROL!$C$22, $C$13, 100%, $E$13)</f>
        <v>10.5131</v>
      </c>
      <c r="G567" s="64">
        <f>10.5133 * CHOOSE(CONTROL!$C$22, $C$13, 100%, $E$13)</f>
        <v>10.513299999999999</v>
      </c>
      <c r="H567" s="64">
        <f>17.7426* CHOOSE(CONTROL!$C$22, $C$13, 100%, $E$13)</f>
        <v>17.742599999999999</v>
      </c>
      <c r="I567" s="64">
        <f>17.7428 * CHOOSE(CONTROL!$C$22, $C$13, 100%, $E$13)</f>
        <v>17.742799999999999</v>
      </c>
      <c r="J567" s="64">
        <f>10.5131 * CHOOSE(CONTROL!$C$22, $C$13, 100%, $E$13)</f>
        <v>10.5131</v>
      </c>
      <c r="K567" s="64">
        <f>10.5133 * CHOOSE(CONTROL!$C$22, $C$13, 100%, $E$13)</f>
        <v>10.513299999999999</v>
      </c>
    </row>
    <row r="568" spans="1:11" ht="15">
      <c r="A568" s="13">
        <v>58927</v>
      </c>
      <c r="B568" s="63">
        <f>8.961 * CHOOSE(CONTROL!$C$22, $C$13, 100%, $E$13)</f>
        <v>8.9610000000000003</v>
      </c>
      <c r="C568" s="63">
        <f>8.961 * CHOOSE(CONTROL!$C$22, $C$13, 100%, $E$13)</f>
        <v>8.9610000000000003</v>
      </c>
      <c r="D568" s="63">
        <f>9.0009 * CHOOSE(CONTROL!$C$22, $C$13, 100%, $E$13)</f>
        <v>9.0008999999999997</v>
      </c>
      <c r="E568" s="64">
        <f>10.5493 * CHOOSE(CONTROL!$C$22, $C$13, 100%, $E$13)</f>
        <v>10.549300000000001</v>
      </c>
      <c r="F568" s="64">
        <f>10.5493 * CHOOSE(CONTROL!$C$22, $C$13, 100%, $E$13)</f>
        <v>10.549300000000001</v>
      </c>
      <c r="G568" s="64">
        <f>10.5518 * CHOOSE(CONTROL!$C$22, $C$13, 100%, $E$13)</f>
        <v>10.5518</v>
      </c>
      <c r="H568" s="64">
        <f>17.7796* CHOOSE(CONTROL!$C$22, $C$13, 100%, $E$13)</f>
        <v>17.779599999999999</v>
      </c>
      <c r="I568" s="64">
        <f>17.782 * CHOOSE(CONTROL!$C$22, $C$13, 100%, $E$13)</f>
        <v>17.782</v>
      </c>
      <c r="J568" s="64">
        <f>10.5493 * CHOOSE(CONTROL!$C$22, $C$13, 100%, $E$13)</f>
        <v>10.549300000000001</v>
      </c>
      <c r="K568" s="64">
        <f>10.5518 * CHOOSE(CONTROL!$C$22, $C$13, 100%, $E$13)</f>
        <v>10.5518</v>
      </c>
    </row>
    <row r="569" spans="1:11" ht="15">
      <c r="A569" s="13">
        <v>58958</v>
      </c>
      <c r="B569" s="63">
        <f>8.9671 * CHOOSE(CONTROL!$C$22, $C$13, 100%, $E$13)</f>
        <v>8.9671000000000003</v>
      </c>
      <c r="C569" s="63">
        <f>8.9671 * CHOOSE(CONTROL!$C$22, $C$13, 100%, $E$13)</f>
        <v>8.9671000000000003</v>
      </c>
      <c r="D569" s="63">
        <f>9.007 * CHOOSE(CONTROL!$C$22, $C$13, 100%, $E$13)</f>
        <v>9.0069999999999997</v>
      </c>
      <c r="E569" s="64">
        <f>10.5173 * CHOOSE(CONTROL!$C$22, $C$13, 100%, $E$13)</f>
        <v>10.517300000000001</v>
      </c>
      <c r="F569" s="64">
        <f>10.5173 * CHOOSE(CONTROL!$C$22, $C$13, 100%, $E$13)</f>
        <v>10.517300000000001</v>
      </c>
      <c r="G569" s="64">
        <f>10.5198 * CHOOSE(CONTROL!$C$22, $C$13, 100%, $E$13)</f>
        <v>10.5198</v>
      </c>
      <c r="H569" s="64">
        <f>17.8166* CHOOSE(CONTROL!$C$22, $C$13, 100%, $E$13)</f>
        <v>17.816600000000001</v>
      </c>
      <c r="I569" s="64">
        <f>17.8191 * CHOOSE(CONTROL!$C$22, $C$13, 100%, $E$13)</f>
        <v>17.819099999999999</v>
      </c>
      <c r="J569" s="64">
        <f>10.5173 * CHOOSE(CONTROL!$C$22, $C$13, 100%, $E$13)</f>
        <v>10.517300000000001</v>
      </c>
      <c r="K569" s="64">
        <f>10.5198 * CHOOSE(CONTROL!$C$22, $C$13, 100%, $E$13)</f>
        <v>10.5198</v>
      </c>
    </row>
    <row r="570" spans="1:11" ht="15">
      <c r="A570" s="13">
        <v>58988</v>
      </c>
      <c r="B570" s="63">
        <f>9.1113 * CHOOSE(CONTROL!$C$22, $C$13, 100%, $E$13)</f>
        <v>9.1113</v>
      </c>
      <c r="C570" s="63">
        <f>9.1113 * CHOOSE(CONTROL!$C$22, $C$13, 100%, $E$13)</f>
        <v>9.1113</v>
      </c>
      <c r="D570" s="63">
        <f>9.1512 * CHOOSE(CONTROL!$C$22, $C$13, 100%, $E$13)</f>
        <v>9.1511999999999993</v>
      </c>
      <c r="E570" s="64">
        <f>10.7213 * CHOOSE(CONTROL!$C$22, $C$13, 100%, $E$13)</f>
        <v>10.721299999999999</v>
      </c>
      <c r="F570" s="64">
        <f>10.7213 * CHOOSE(CONTROL!$C$22, $C$13, 100%, $E$13)</f>
        <v>10.721299999999999</v>
      </c>
      <c r="G570" s="64">
        <f>10.7237 * CHOOSE(CONTROL!$C$22, $C$13, 100%, $E$13)</f>
        <v>10.723699999999999</v>
      </c>
      <c r="H570" s="64">
        <f>17.8538* CHOOSE(CONTROL!$C$22, $C$13, 100%, $E$13)</f>
        <v>17.8538</v>
      </c>
      <c r="I570" s="64">
        <f>17.8562 * CHOOSE(CONTROL!$C$22, $C$13, 100%, $E$13)</f>
        <v>17.856200000000001</v>
      </c>
      <c r="J570" s="64">
        <f>10.7213 * CHOOSE(CONTROL!$C$22, $C$13, 100%, $E$13)</f>
        <v>10.721299999999999</v>
      </c>
      <c r="K570" s="64">
        <f>10.7237 * CHOOSE(CONTROL!$C$22, $C$13, 100%, $E$13)</f>
        <v>10.723699999999999</v>
      </c>
    </row>
    <row r="571" spans="1:11" ht="15">
      <c r="A571" s="13">
        <v>59019</v>
      </c>
      <c r="B571" s="63">
        <f>9.118 * CHOOSE(CONTROL!$C$22, $C$13, 100%, $E$13)</f>
        <v>9.1180000000000003</v>
      </c>
      <c r="C571" s="63">
        <f>9.118 * CHOOSE(CONTROL!$C$22, $C$13, 100%, $E$13)</f>
        <v>9.1180000000000003</v>
      </c>
      <c r="D571" s="63">
        <f>9.1579 * CHOOSE(CONTROL!$C$22, $C$13, 100%, $E$13)</f>
        <v>9.1578999999999997</v>
      </c>
      <c r="E571" s="64">
        <f>10.6171 * CHOOSE(CONTROL!$C$22, $C$13, 100%, $E$13)</f>
        <v>10.617100000000001</v>
      </c>
      <c r="F571" s="64">
        <f>10.6171 * CHOOSE(CONTROL!$C$22, $C$13, 100%, $E$13)</f>
        <v>10.617100000000001</v>
      </c>
      <c r="G571" s="64">
        <f>10.6196 * CHOOSE(CONTROL!$C$22, $C$13, 100%, $E$13)</f>
        <v>10.6196</v>
      </c>
      <c r="H571" s="64">
        <f>17.8909* CHOOSE(CONTROL!$C$22, $C$13, 100%, $E$13)</f>
        <v>17.890899999999998</v>
      </c>
      <c r="I571" s="64">
        <f>17.8934 * CHOOSE(CONTROL!$C$22, $C$13, 100%, $E$13)</f>
        <v>17.8934</v>
      </c>
      <c r="J571" s="64">
        <f>10.6171 * CHOOSE(CONTROL!$C$22, $C$13, 100%, $E$13)</f>
        <v>10.617100000000001</v>
      </c>
      <c r="K571" s="64">
        <f>10.6196 * CHOOSE(CONTROL!$C$22, $C$13, 100%, $E$13)</f>
        <v>10.6196</v>
      </c>
    </row>
    <row r="572" spans="1:11" ht="15">
      <c r="A572" s="13">
        <v>59050</v>
      </c>
      <c r="B572" s="63">
        <f>9.1149 * CHOOSE(CONTROL!$C$22, $C$13, 100%, $E$13)</f>
        <v>9.1149000000000004</v>
      </c>
      <c r="C572" s="63">
        <f>9.1149 * CHOOSE(CONTROL!$C$22, $C$13, 100%, $E$13)</f>
        <v>9.1149000000000004</v>
      </c>
      <c r="D572" s="63">
        <f>9.1549 * CHOOSE(CONTROL!$C$22, $C$13, 100%, $E$13)</f>
        <v>9.1548999999999996</v>
      </c>
      <c r="E572" s="64">
        <f>10.6029 * CHOOSE(CONTROL!$C$22, $C$13, 100%, $E$13)</f>
        <v>10.6029</v>
      </c>
      <c r="F572" s="64">
        <f>10.6029 * CHOOSE(CONTROL!$C$22, $C$13, 100%, $E$13)</f>
        <v>10.6029</v>
      </c>
      <c r="G572" s="64">
        <f>10.6054 * CHOOSE(CONTROL!$C$22, $C$13, 100%, $E$13)</f>
        <v>10.605399999999999</v>
      </c>
      <c r="H572" s="64">
        <f>17.9282* CHOOSE(CONTROL!$C$22, $C$13, 100%, $E$13)</f>
        <v>17.9282</v>
      </c>
      <c r="I572" s="64">
        <f>17.9307 * CHOOSE(CONTROL!$C$22, $C$13, 100%, $E$13)</f>
        <v>17.930700000000002</v>
      </c>
      <c r="J572" s="64">
        <f>10.6029 * CHOOSE(CONTROL!$C$22, $C$13, 100%, $E$13)</f>
        <v>10.6029</v>
      </c>
      <c r="K572" s="64">
        <f>10.6054 * CHOOSE(CONTROL!$C$22, $C$13, 100%, $E$13)</f>
        <v>10.605399999999999</v>
      </c>
    </row>
    <row r="573" spans="1:11" ht="15">
      <c r="A573" s="13">
        <v>59080</v>
      </c>
      <c r="B573" s="63">
        <f>9.1271 * CHOOSE(CONTROL!$C$22, $C$13, 100%, $E$13)</f>
        <v>9.1271000000000004</v>
      </c>
      <c r="C573" s="63">
        <f>9.1271 * CHOOSE(CONTROL!$C$22, $C$13, 100%, $E$13)</f>
        <v>9.1271000000000004</v>
      </c>
      <c r="D573" s="63">
        <f>9.1471 * CHOOSE(CONTROL!$C$22, $C$13, 100%, $E$13)</f>
        <v>9.1471</v>
      </c>
      <c r="E573" s="64">
        <f>10.6379 * CHOOSE(CONTROL!$C$22, $C$13, 100%, $E$13)</f>
        <v>10.6379</v>
      </c>
      <c r="F573" s="64">
        <f>10.6379 * CHOOSE(CONTROL!$C$22, $C$13, 100%, $E$13)</f>
        <v>10.6379</v>
      </c>
      <c r="G573" s="64">
        <f>10.638 * CHOOSE(CONTROL!$C$22, $C$13, 100%, $E$13)</f>
        <v>10.638</v>
      </c>
      <c r="H573" s="64">
        <f>17.9656* CHOOSE(CONTROL!$C$22, $C$13, 100%, $E$13)</f>
        <v>17.965599999999998</v>
      </c>
      <c r="I573" s="64">
        <f>17.9657 * CHOOSE(CONTROL!$C$22, $C$13, 100%, $E$13)</f>
        <v>17.965699999999998</v>
      </c>
      <c r="J573" s="64">
        <f>10.6379 * CHOOSE(CONTROL!$C$22, $C$13, 100%, $E$13)</f>
        <v>10.6379</v>
      </c>
      <c r="K573" s="64">
        <f>10.638 * CHOOSE(CONTROL!$C$22, $C$13, 100%, $E$13)</f>
        <v>10.638</v>
      </c>
    </row>
    <row r="574" spans="1:11" ht="15">
      <c r="A574" s="13">
        <v>59111</v>
      </c>
      <c r="B574" s="63">
        <f>9.1301 * CHOOSE(CONTROL!$C$22, $C$13, 100%, $E$13)</f>
        <v>9.1301000000000005</v>
      </c>
      <c r="C574" s="63">
        <f>9.1301 * CHOOSE(CONTROL!$C$22, $C$13, 100%, $E$13)</f>
        <v>9.1301000000000005</v>
      </c>
      <c r="D574" s="63">
        <f>9.1501 * CHOOSE(CONTROL!$C$22, $C$13, 100%, $E$13)</f>
        <v>9.1501000000000001</v>
      </c>
      <c r="E574" s="64">
        <f>10.6642 * CHOOSE(CONTROL!$C$22, $C$13, 100%, $E$13)</f>
        <v>10.664199999999999</v>
      </c>
      <c r="F574" s="64">
        <f>10.6642 * CHOOSE(CONTROL!$C$22, $C$13, 100%, $E$13)</f>
        <v>10.664199999999999</v>
      </c>
      <c r="G574" s="64">
        <f>10.6643 * CHOOSE(CONTROL!$C$22, $C$13, 100%, $E$13)</f>
        <v>10.664300000000001</v>
      </c>
      <c r="H574" s="64">
        <f>18.003* CHOOSE(CONTROL!$C$22, $C$13, 100%, $E$13)</f>
        <v>18.003</v>
      </c>
      <c r="I574" s="64">
        <f>18.0032 * CHOOSE(CONTROL!$C$22, $C$13, 100%, $E$13)</f>
        <v>18.0032</v>
      </c>
      <c r="J574" s="64">
        <f>10.6642 * CHOOSE(CONTROL!$C$22, $C$13, 100%, $E$13)</f>
        <v>10.664199999999999</v>
      </c>
      <c r="K574" s="64">
        <f>10.6643 * CHOOSE(CONTROL!$C$22, $C$13, 100%, $E$13)</f>
        <v>10.664300000000001</v>
      </c>
    </row>
    <row r="575" spans="1:11" ht="15">
      <c r="A575" s="13">
        <v>59141</v>
      </c>
      <c r="B575" s="63">
        <f>9.1301 * CHOOSE(CONTROL!$C$22, $C$13, 100%, $E$13)</f>
        <v>9.1301000000000005</v>
      </c>
      <c r="C575" s="63">
        <f>9.1301 * CHOOSE(CONTROL!$C$22, $C$13, 100%, $E$13)</f>
        <v>9.1301000000000005</v>
      </c>
      <c r="D575" s="63">
        <f>9.1501 * CHOOSE(CONTROL!$C$22, $C$13, 100%, $E$13)</f>
        <v>9.1501000000000001</v>
      </c>
      <c r="E575" s="64">
        <f>10.6037 * CHOOSE(CONTROL!$C$22, $C$13, 100%, $E$13)</f>
        <v>10.6037</v>
      </c>
      <c r="F575" s="64">
        <f>10.6037 * CHOOSE(CONTROL!$C$22, $C$13, 100%, $E$13)</f>
        <v>10.6037</v>
      </c>
      <c r="G575" s="64">
        <f>10.6039 * CHOOSE(CONTROL!$C$22, $C$13, 100%, $E$13)</f>
        <v>10.603899999999999</v>
      </c>
      <c r="H575" s="64">
        <f>18.0405* CHOOSE(CONTROL!$C$22, $C$13, 100%, $E$13)</f>
        <v>18.040500000000002</v>
      </c>
      <c r="I575" s="64">
        <f>18.0407 * CHOOSE(CONTROL!$C$22, $C$13, 100%, $E$13)</f>
        <v>18.040700000000001</v>
      </c>
      <c r="J575" s="64">
        <f>10.6037 * CHOOSE(CONTROL!$C$22, $C$13, 100%, $E$13)</f>
        <v>10.6037</v>
      </c>
      <c r="K575" s="64">
        <f>10.6039 * CHOOSE(CONTROL!$C$22, $C$13, 100%, $E$13)</f>
        <v>10.603899999999999</v>
      </c>
    </row>
    <row r="576" spans="1:11" ht="15">
      <c r="A576" s="13">
        <v>59172</v>
      </c>
      <c r="B576" s="63">
        <f>9.2104 * CHOOSE(CONTROL!$C$22, $C$13, 100%, $E$13)</f>
        <v>9.2103999999999999</v>
      </c>
      <c r="C576" s="63">
        <f>9.2104 * CHOOSE(CONTROL!$C$22, $C$13, 100%, $E$13)</f>
        <v>9.2103999999999999</v>
      </c>
      <c r="D576" s="63">
        <f>9.2304 * CHOOSE(CONTROL!$C$22, $C$13, 100%, $E$13)</f>
        <v>9.2303999999999995</v>
      </c>
      <c r="E576" s="64">
        <f>10.7414 * CHOOSE(CONTROL!$C$22, $C$13, 100%, $E$13)</f>
        <v>10.741400000000001</v>
      </c>
      <c r="F576" s="64">
        <f>10.7414 * CHOOSE(CONTROL!$C$22, $C$13, 100%, $E$13)</f>
        <v>10.741400000000001</v>
      </c>
      <c r="G576" s="64">
        <f>10.7416 * CHOOSE(CONTROL!$C$22, $C$13, 100%, $E$13)</f>
        <v>10.7416</v>
      </c>
      <c r="H576" s="64">
        <f>18.0781* CHOOSE(CONTROL!$C$22, $C$13, 100%, $E$13)</f>
        <v>18.078099999999999</v>
      </c>
      <c r="I576" s="64">
        <f>18.0783 * CHOOSE(CONTROL!$C$22, $C$13, 100%, $E$13)</f>
        <v>18.078299999999999</v>
      </c>
      <c r="J576" s="64">
        <f>10.7414 * CHOOSE(CONTROL!$C$22, $C$13, 100%, $E$13)</f>
        <v>10.741400000000001</v>
      </c>
      <c r="K576" s="64">
        <f>10.7416 * CHOOSE(CONTROL!$C$22, $C$13, 100%, $E$13)</f>
        <v>10.7416</v>
      </c>
    </row>
    <row r="577" spans="1:11" ht="15">
      <c r="A577" s="13">
        <v>59203</v>
      </c>
      <c r="B577" s="63">
        <f>9.2074 * CHOOSE(CONTROL!$C$22, $C$13, 100%, $E$13)</f>
        <v>9.2073999999999998</v>
      </c>
      <c r="C577" s="63">
        <f>9.2074 * CHOOSE(CONTROL!$C$22, $C$13, 100%, $E$13)</f>
        <v>9.2073999999999998</v>
      </c>
      <c r="D577" s="63">
        <f>9.2274 * CHOOSE(CONTROL!$C$22, $C$13, 100%, $E$13)</f>
        <v>9.2273999999999994</v>
      </c>
      <c r="E577" s="64">
        <f>10.6219 * CHOOSE(CONTROL!$C$22, $C$13, 100%, $E$13)</f>
        <v>10.6219</v>
      </c>
      <c r="F577" s="64">
        <f>10.6219 * CHOOSE(CONTROL!$C$22, $C$13, 100%, $E$13)</f>
        <v>10.6219</v>
      </c>
      <c r="G577" s="64">
        <f>10.6221 * CHOOSE(CONTROL!$C$22, $C$13, 100%, $E$13)</f>
        <v>10.6221</v>
      </c>
      <c r="H577" s="64">
        <f>18.1158* CHOOSE(CONTROL!$C$22, $C$13, 100%, $E$13)</f>
        <v>18.1158</v>
      </c>
      <c r="I577" s="64">
        <f>18.1159 * CHOOSE(CONTROL!$C$22, $C$13, 100%, $E$13)</f>
        <v>18.1159</v>
      </c>
      <c r="J577" s="64">
        <f>10.6219 * CHOOSE(CONTROL!$C$22, $C$13, 100%, $E$13)</f>
        <v>10.6219</v>
      </c>
      <c r="K577" s="64">
        <f>10.6221 * CHOOSE(CONTROL!$C$22, $C$13, 100%, $E$13)</f>
        <v>10.6221</v>
      </c>
    </row>
    <row r="578" spans="1:11" ht="15">
      <c r="A578" s="13">
        <v>59231</v>
      </c>
      <c r="B578" s="63">
        <f>9.2043 * CHOOSE(CONTROL!$C$22, $C$13, 100%, $E$13)</f>
        <v>9.2042999999999999</v>
      </c>
      <c r="C578" s="63">
        <f>9.2043 * CHOOSE(CONTROL!$C$22, $C$13, 100%, $E$13)</f>
        <v>9.2042999999999999</v>
      </c>
      <c r="D578" s="63">
        <f>9.2243 * CHOOSE(CONTROL!$C$22, $C$13, 100%, $E$13)</f>
        <v>9.2242999999999995</v>
      </c>
      <c r="E578" s="64">
        <f>10.7123 * CHOOSE(CONTROL!$C$22, $C$13, 100%, $E$13)</f>
        <v>10.712300000000001</v>
      </c>
      <c r="F578" s="64">
        <f>10.7123 * CHOOSE(CONTROL!$C$22, $C$13, 100%, $E$13)</f>
        <v>10.712300000000001</v>
      </c>
      <c r="G578" s="64">
        <f>10.7125 * CHOOSE(CONTROL!$C$22, $C$13, 100%, $E$13)</f>
        <v>10.7125</v>
      </c>
      <c r="H578" s="64">
        <f>18.1535* CHOOSE(CONTROL!$C$22, $C$13, 100%, $E$13)</f>
        <v>18.153500000000001</v>
      </c>
      <c r="I578" s="64">
        <f>18.1537 * CHOOSE(CONTROL!$C$22, $C$13, 100%, $E$13)</f>
        <v>18.153700000000001</v>
      </c>
      <c r="J578" s="64">
        <f>10.7123 * CHOOSE(CONTROL!$C$22, $C$13, 100%, $E$13)</f>
        <v>10.712300000000001</v>
      </c>
      <c r="K578" s="64">
        <f>10.7125 * CHOOSE(CONTROL!$C$22, $C$13, 100%, $E$13)</f>
        <v>10.7125</v>
      </c>
    </row>
    <row r="579" spans="1:11" ht="15">
      <c r="A579" s="13">
        <v>59262</v>
      </c>
      <c r="B579" s="63">
        <f>9.2065 * CHOOSE(CONTROL!$C$22, $C$13, 100%, $E$13)</f>
        <v>9.2065000000000001</v>
      </c>
      <c r="C579" s="63">
        <f>9.2065 * CHOOSE(CONTROL!$C$22, $C$13, 100%, $E$13)</f>
        <v>9.2065000000000001</v>
      </c>
      <c r="D579" s="63">
        <f>9.2265 * CHOOSE(CONTROL!$C$22, $C$13, 100%, $E$13)</f>
        <v>9.2264999999999997</v>
      </c>
      <c r="E579" s="64">
        <f>10.8075 * CHOOSE(CONTROL!$C$22, $C$13, 100%, $E$13)</f>
        <v>10.807499999999999</v>
      </c>
      <c r="F579" s="64">
        <f>10.8075 * CHOOSE(CONTROL!$C$22, $C$13, 100%, $E$13)</f>
        <v>10.807499999999999</v>
      </c>
      <c r="G579" s="64">
        <f>10.8077 * CHOOSE(CONTROL!$C$22, $C$13, 100%, $E$13)</f>
        <v>10.807700000000001</v>
      </c>
      <c r="H579" s="64">
        <f>18.1913* CHOOSE(CONTROL!$C$22, $C$13, 100%, $E$13)</f>
        <v>18.191299999999998</v>
      </c>
      <c r="I579" s="64">
        <f>18.1915 * CHOOSE(CONTROL!$C$22, $C$13, 100%, $E$13)</f>
        <v>18.191500000000001</v>
      </c>
      <c r="J579" s="64">
        <f>10.8075 * CHOOSE(CONTROL!$C$22, $C$13, 100%, $E$13)</f>
        <v>10.807499999999999</v>
      </c>
      <c r="K579" s="64">
        <f>10.8077 * CHOOSE(CONTROL!$C$22, $C$13, 100%, $E$13)</f>
        <v>10.807700000000001</v>
      </c>
    </row>
    <row r="580" spans="1:11" ht="15">
      <c r="A580" s="13">
        <v>59292</v>
      </c>
      <c r="B580" s="63">
        <f>9.2065 * CHOOSE(CONTROL!$C$22, $C$13, 100%, $E$13)</f>
        <v>9.2065000000000001</v>
      </c>
      <c r="C580" s="63">
        <f>9.2065 * CHOOSE(CONTROL!$C$22, $C$13, 100%, $E$13)</f>
        <v>9.2065000000000001</v>
      </c>
      <c r="D580" s="63">
        <f>9.2465 * CHOOSE(CONTROL!$C$22, $C$13, 100%, $E$13)</f>
        <v>9.2464999999999993</v>
      </c>
      <c r="E580" s="64">
        <f>10.8448 * CHOOSE(CONTROL!$C$22, $C$13, 100%, $E$13)</f>
        <v>10.844799999999999</v>
      </c>
      <c r="F580" s="64">
        <f>10.8448 * CHOOSE(CONTROL!$C$22, $C$13, 100%, $E$13)</f>
        <v>10.844799999999999</v>
      </c>
      <c r="G580" s="64">
        <f>10.8473 * CHOOSE(CONTROL!$C$22, $C$13, 100%, $E$13)</f>
        <v>10.847300000000001</v>
      </c>
      <c r="H580" s="64">
        <f>18.2292* CHOOSE(CONTROL!$C$22, $C$13, 100%, $E$13)</f>
        <v>18.229199999999999</v>
      </c>
      <c r="I580" s="64">
        <f>18.2317 * CHOOSE(CONTROL!$C$22, $C$13, 100%, $E$13)</f>
        <v>18.2317</v>
      </c>
      <c r="J580" s="64">
        <f>10.8448 * CHOOSE(CONTROL!$C$22, $C$13, 100%, $E$13)</f>
        <v>10.844799999999999</v>
      </c>
      <c r="K580" s="64">
        <f>10.8473 * CHOOSE(CONTROL!$C$22, $C$13, 100%, $E$13)</f>
        <v>10.847300000000001</v>
      </c>
    </row>
    <row r="581" spans="1:11" ht="15">
      <c r="A581" s="13">
        <v>59323</v>
      </c>
      <c r="B581" s="63">
        <f>9.2126 * CHOOSE(CONTROL!$C$22, $C$13, 100%, $E$13)</f>
        <v>9.2126000000000001</v>
      </c>
      <c r="C581" s="63">
        <f>9.2126 * CHOOSE(CONTROL!$C$22, $C$13, 100%, $E$13)</f>
        <v>9.2126000000000001</v>
      </c>
      <c r="D581" s="63">
        <f>9.2525 * CHOOSE(CONTROL!$C$22, $C$13, 100%, $E$13)</f>
        <v>9.2524999999999995</v>
      </c>
      <c r="E581" s="64">
        <f>10.8118 * CHOOSE(CONTROL!$C$22, $C$13, 100%, $E$13)</f>
        <v>10.8118</v>
      </c>
      <c r="F581" s="64">
        <f>10.8118 * CHOOSE(CONTROL!$C$22, $C$13, 100%, $E$13)</f>
        <v>10.8118</v>
      </c>
      <c r="G581" s="64">
        <f>10.8142 * CHOOSE(CONTROL!$C$22, $C$13, 100%, $E$13)</f>
        <v>10.8142</v>
      </c>
      <c r="H581" s="64">
        <f>18.2672* CHOOSE(CONTROL!$C$22, $C$13, 100%, $E$13)</f>
        <v>18.267199999999999</v>
      </c>
      <c r="I581" s="64">
        <f>18.2696 * CHOOSE(CONTROL!$C$22, $C$13, 100%, $E$13)</f>
        <v>18.269600000000001</v>
      </c>
      <c r="J581" s="64">
        <f>10.8118 * CHOOSE(CONTROL!$C$22, $C$13, 100%, $E$13)</f>
        <v>10.8118</v>
      </c>
      <c r="K581" s="64">
        <f>10.8142 * CHOOSE(CONTROL!$C$22, $C$13, 100%, $E$13)</f>
        <v>10.8142</v>
      </c>
    </row>
    <row r="582" spans="1:11" ht="15">
      <c r="A582" s="13">
        <v>59353</v>
      </c>
      <c r="B582" s="63">
        <f>9.3605 * CHOOSE(CONTROL!$C$22, $C$13, 100%, $E$13)</f>
        <v>9.3605</v>
      </c>
      <c r="C582" s="63">
        <f>9.3605 * CHOOSE(CONTROL!$C$22, $C$13, 100%, $E$13)</f>
        <v>9.3605</v>
      </c>
      <c r="D582" s="63">
        <f>9.4004 * CHOOSE(CONTROL!$C$22, $C$13, 100%, $E$13)</f>
        <v>9.4003999999999994</v>
      </c>
      <c r="E582" s="64">
        <f>11.0212 * CHOOSE(CONTROL!$C$22, $C$13, 100%, $E$13)</f>
        <v>11.0212</v>
      </c>
      <c r="F582" s="64">
        <f>11.0212 * CHOOSE(CONTROL!$C$22, $C$13, 100%, $E$13)</f>
        <v>11.0212</v>
      </c>
      <c r="G582" s="64">
        <f>11.0236 * CHOOSE(CONTROL!$C$22, $C$13, 100%, $E$13)</f>
        <v>11.0236</v>
      </c>
      <c r="H582" s="64">
        <f>18.3052* CHOOSE(CONTROL!$C$22, $C$13, 100%, $E$13)</f>
        <v>18.305199999999999</v>
      </c>
      <c r="I582" s="64">
        <f>18.3077 * CHOOSE(CONTROL!$C$22, $C$13, 100%, $E$13)</f>
        <v>18.307700000000001</v>
      </c>
      <c r="J582" s="64">
        <f>11.0212 * CHOOSE(CONTROL!$C$22, $C$13, 100%, $E$13)</f>
        <v>11.0212</v>
      </c>
      <c r="K582" s="64">
        <f>11.0236 * CHOOSE(CONTROL!$C$22, $C$13, 100%, $E$13)</f>
        <v>11.0236</v>
      </c>
    </row>
    <row r="583" spans="1:11" ht="15">
      <c r="A583" s="13">
        <v>59384</v>
      </c>
      <c r="B583" s="63">
        <f>9.3672 * CHOOSE(CONTROL!$C$22, $C$13, 100%, $E$13)</f>
        <v>9.3672000000000004</v>
      </c>
      <c r="C583" s="63">
        <f>9.3672 * CHOOSE(CONTROL!$C$22, $C$13, 100%, $E$13)</f>
        <v>9.3672000000000004</v>
      </c>
      <c r="D583" s="63">
        <f>9.4071 * CHOOSE(CONTROL!$C$22, $C$13, 100%, $E$13)</f>
        <v>9.4070999999999998</v>
      </c>
      <c r="E583" s="64">
        <f>10.914 * CHOOSE(CONTROL!$C$22, $C$13, 100%, $E$13)</f>
        <v>10.914</v>
      </c>
      <c r="F583" s="64">
        <f>10.914 * CHOOSE(CONTROL!$C$22, $C$13, 100%, $E$13)</f>
        <v>10.914</v>
      </c>
      <c r="G583" s="64">
        <f>10.9164 * CHOOSE(CONTROL!$C$22, $C$13, 100%, $E$13)</f>
        <v>10.916399999999999</v>
      </c>
      <c r="H583" s="64">
        <f>18.3434* CHOOSE(CONTROL!$C$22, $C$13, 100%, $E$13)</f>
        <v>18.343399999999999</v>
      </c>
      <c r="I583" s="64">
        <f>18.3458 * CHOOSE(CONTROL!$C$22, $C$13, 100%, $E$13)</f>
        <v>18.345800000000001</v>
      </c>
      <c r="J583" s="64">
        <f>10.914 * CHOOSE(CONTROL!$C$22, $C$13, 100%, $E$13)</f>
        <v>10.914</v>
      </c>
      <c r="K583" s="64">
        <f>10.9164 * CHOOSE(CONTROL!$C$22, $C$13, 100%, $E$13)</f>
        <v>10.916399999999999</v>
      </c>
    </row>
    <row r="584" spans="1:11" ht="15">
      <c r="A584" s="13">
        <v>59415</v>
      </c>
      <c r="B584" s="63">
        <f>9.3641 * CHOOSE(CONTROL!$C$22, $C$13, 100%, $E$13)</f>
        <v>9.3641000000000005</v>
      </c>
      <c r="C584" s="63">
        <f>9.3641 * CHOOSE(CONTROL!$C$22, $C$13, 100%, $E$13)</f>
        <v>9.3641000000000005</v>
      </c>
      <c r="D584" s="63">
        <f>9.4041 * CHOOSE(CONTROL!$C$22, $C$13, 100%, $E$13)</f>
        <v>9.4040999999999997</v>
      </c>
      <c r="E584" s="64">
        <f>10.8994 * CHOOSE(CONTROL!$C$22, $C$13, 100%, $E$13)</f>
        <v>10.8994</v>
      </c>
      <c r="F584" s="64">
        <f>10.8994 * CHOOSE(CONTROL!$C$22, $C$13, 100%, $E$13)</f>
        <v>10.8994</v>
      </c>
      <c r="G584" s="64">
        <f>10.9019 * CHOOSE(CONTROL!$C$22, $C$13, 100%, $E$13)</f>
        <v>10.901899999999999</v>
      </c>
      <c r="H584" s="64">
        <f>18.3816* CHOOSE(CONTROL!$C$22, $C$13, 100%, $E$13)</f>
        <v>18.381599999999999</v>
      </c>
      <c r="I584" s="64">
        <f>18.384 * CHOOSE(CONTROL!$C$22, $C$13, 100%, $E$13)</f>
        <v>18.384</v>
      </c>
      <c r="J584" s="64">
        <f>10.8994 * CHOOSE(CONTROL!$C$22, $C$13, 100%, $E$13)</f>
        <v>10.8994</v>
      </c>
      <c r="K584" s="64">
        <f>10.9019 * CHOOSE(CONTROL!$C$22, $C$13, 100%, $E$13)</f>
        <v>10.901899999999999</v>
      </c>
    </row>
    <row r="585" spans="1:11" ht="15">
      <c r="A585" s="13">
        <v>59445</v>
      </c>
      <c r="B585" s="63">
        <f>9.3771 * CHOOSE(CONTROL!$C$22, $C$13, 100%, $E$13)</f>
        <v>9.3771000000000004</v>
      </c>
      <c r="C585" s="63">
        <f>9.3771 * CHOOSE(CONTROL!$C$22, $C$13, 100%, $E$13)</f>
        <v>9.3771000000000004</v>
      </c>
      <c r="D585" s="63">
        <f>9.3971 * CHOOSE(CONTROL!$C$22, $C$13, 100%, $E$13)</f>
        <v>9.3971</v>
      </c>
      <c r="E585" s="64">
        <f>10.9357 * CHOOSE(CONTROL!$C$22, $C$13, 100%, $E$13)</f>
        <v>10.935700000000001</v>
      </c>
      <c r="F585" s="64">
        <f>10.9357 * CHOOSE(CONTROL!$C$22, $C$13, 100%, $E$13)</f>
        <v>10.935700000000001</v>
      </c>
      <c r="G585" s="64">
        <f>10.9359 * CHOOSE(CONTROL!$C$22, $C$13, 100%, $E$13)</f>
        <v>10.9359</v>
      </c>
      <c r="H585" s="64">
        <f>18.4199* CHOOSE(CONTROL!$C$22, $C$13, 100%, $E$13)</f>
        <v>18.419899999999998</v>
      </c>
      <c r="I585" s="64">
        <f>18.4201 * CHOOSE(CONTROL!$C$22, $C$13, 100%, $E$13)</f>
        <v>18.420100000000001</v>
      </c>
      <c r="J585" s="64">
        <f>10.9357 * CHOOSE(CONTROL!$C$22, $C$13, 100%, $E$13)</f>
        <v>10.935700000000001</v>
      </c>
      <c r="K585" s="64">
        <f>10.9359 * CHOOSE(CONTROL!$C$22, $C$13, 100%, $E$13)</f>
        <v>10.9359</v>
      </c>
    </row>
    <row r="586" spans="1:11" ht="15">
      <c r="A586" s="13">
        <v>59476</v>
      </c>
      <c r="B586" s="63">
        <f>9.3802 * CHOOSE(CONTROL!$C$22, $C$13, 100%, $E$13)</f>
        <v>9.3802000000000003</v>
      </c>
      <c r="C586" s="63">
        <f>9.3802 * CHOOSE(CONTROL!$C$22, $C$13, 100%, $E$13)</f>
        <v>9.3802000000000003</v>
      </c>
      <c r="D586" s="63">
        <f>9.4001 * CHOOSE(CONTROL!$C$22, $C$13, 100%, $E$13)</f>
        <v>9.4001000000000001</v>
      </c>
      <c r="E586" s="64">
        <f>10.9627 * CHOOSE(CONTROL!$C$22, $C$13, 100%, $E$13)</f>
        <v>10.9627</v>
      </c>
      <c r="F586" s="64">
        <f>10.9627 * CHOOSE(CONTROL!$C$22, $C$13, 100%, $E$13)</f>
        <v>10.9627</v>
      </c>
      <c r="G586" s="64">
        <f>10.9629 * CHOOSE(CONTROL!$C$22, $C$13, 100%, $E$13)</f>
        <v>10.962899999999999</v>
      </c>
      <c r="H586" s="64">
        <f>18.4583* CHOOSE(CONTROL!$C$22, $C$13, 100%, $E$13)</f>
        <v>18.458300000000001</v>
      </c>
      <c r="I586" s="64">
        <f>18.4584 * CHOOSE(CONTROL!$C$22, $C$13, 100%, $E$13)</f>
        <v>18.458400000000001</v>
      </c>
      <c r="J586" s="64">
        <f>10.9627 * CHOOSE(CONTROL!$C$22, $C$13, 100%, $E$13)</f>
        <v>10.9627</v>
      </c>
      <c r="K586" s="64">
        <f>10.9629 * CHOOSE(CONTROL!$C$22, $C$13, 100%, $E$13)</f>
        <v>10.962899999999999</v>
      </c>
    </row>
    <row r="587" spans="1:11" ht="15">
      <c r="A587" s="13">
        <v>59506</v>
      </c>
      <c r="B587" s="63">
        <f>9.3802 * CHOOSE(CONTROL!$C$22, $C$13, 100%, $E$13)</f>
        <v>9.3802000000000003</v>
      </c>
      <c r="C587" s="63">
        <f>9.3802 * CHOOSE(CONTROL!$C$22, $C$13, 100%, $E$13)</f>
        <v>9.3802000000000003</v>
      </c>
      <c r="D587" s="63">
        <f>9.4001 * CHOOSE(CONTROL!$C$22, $C$13, 100%, $E$13)</f>
        <v>9.4001000000000001</v>
      </c>
      <c r="E587" s="64">
        <f>10.9005 * CHOOSE(CONTROL!$C$22, $C$13, 100%, $E$13)</f>
        <v>10.900499999999999</v>
      </c>
      <c r="F587" s="64">
        <f>10.9005 * CHOOSE(CONTROL!$C$22, $C$13, 100%, $E$13)</f>
        <v>10.900499999999999</v>
      </c>
      <c r="G587" s="64">
        <f>10.9007 * CHOOSE(CONTROL!$C$22, $C$13, 100%, $E$13)</f>
        <v>10.900700000000001</v>
      </c>
      <c r="H587" s="64">
        <f>18.4967* CHOOSE(CONTROL!$C$22, $C$13, 100%, $E$13)</f>
        <v>18.496700000000001</v>
      </c>
      <c r="I587" s="64">
        <f>18.4969 * CHOOSE(CONTROL!$C$22, $C$13, 100%, $E$13)</f>
        <v>18.4969</v>
      </c>
      <c r="J587" s="64">
        <f>10.9005 * CHOOSE(CONTROL!$C$22, $C$13, 100%, $E$13)</f>
        <v>10.900499999999999</v>
      </c>
      <c r="K587" s="64">
        <f>10.9007 * CHOOSE(CONTROL!$C$22, $C$13, 100%, $E$13)</f>
        <v>10.900700000000001</v>
      </c>
    </row>
    <row r="588" spans="1:11" ht="15">
      <c r="A588" s="13">
        <v>59537</v>
      </c>
      <c r="B588" s="63">
        <f>9.4557 * CHOOSE(CONTROL!$C$22, $C$13, 100%, $E$13)</f>
        <v>9.4557000000000002</v>
      </c>
      <c r="C588" s="63">
        <f>9.4557 * CHOOSE(CONTROL!$C$22, $C$13, 100%, $E$13)</f>
        <v>9.4557000000000002</v>
      </c>
      <c r="D588" s="63">
        <f>9.4757 * CHOOSE(CONTROL!$C$22, $C$13, 100%, $E$13)</f>
        <v>9.4756999999999998</v>
      </c>
      <c r="E588" s="64">
        <f>11.0338 * CHOOSE(CONTROL!$C$22, $C$13, 100%, $E$13)</f>
        <v>11.033799999999999</v>
      </c>
      <c r="F588" s="64">
        <f>11.0338 * CHOOSE(CONTROL!$C$22, $C$13, 100%, $E$13)</f>
        <v>11.033799999999999</v>
      </c>
      <c r="G588" s="64">
        <f>11.034 * CHOOSE(CONTROL!$C$22, $C$13, 100%, $E$13)</f>
        <v>11.034000000000001</v>
      </c>
      <c r="H588" s="64">
        <f>18.524* CHOOSE(CONTROL!$C$22, $C$13, 100%, $E$13)</f>
        <v>18.524000000000001</v>
      </c>
      <c r="I588" s="64">
        <f>18.5242 * CHOOSE(CONTROL!$C$22, $C$13, 100%, $E$13)</f>
        <v>18.5242</v>
      </c>
      <c r="J588" s="64">
        <f>11.0338 * CHOOSE(CONTROL!$C$22, $C$13, 100%, $E$13)</f>
        <v>11.033799999999999</v>
      </c>
      <c r="K588" s="64">
        <f>11.034 * CHOOSE(CONTROL!$C$22, $C$13, 100%, $E$13)</f>
        <v>11.034000000000001</v>
      </c>
    </row>
    <row r="589" spans="1:11" ht="15">
      <c r="A589" s="13">
        <v>59568</v>
      </c>
      <c r="B589" s="63">
        <f>9.4527 * CHOOSE(CONTROL!$C$22, $C$13, 100%, $E$13)</f>
        <v>9.4527000000000001</v>
      </c>
      <c r="C589" s="63">
        <f>9.4527 * CHOOSE(CONTROL!$C$22, $C$13, 100%, $E$13)</f>
        <v>9.4527000000000001</v>
      </c>
      <c r="D589" s="63">
        <f>9.4727 * CHOOSE(CONTROL!$C$22, $C$13, 100%, $E$13)</f>
        <v>9.4726999999999997</v>
      </c>
      <c r="E589" s="64">
        <f>10.9111 * CHOOSE(CONTROL!$C$22, $C$13, 100%, $E$13)</f>
        <v>10.911099999999999</v>
      </c>
      <c r="F589" s="64">
        <f>10.9111 * CHOOSE(CONTROL!$C$22, $C$13, 100%, $E$13)</f>
        <v>10.911099999999999</v>
      </c>
      <c r="G589" s="64">
        <f>10.9113 * CHOOSE(CONTROL!$C$22, $C$13, 100%, $E$13)</f>
        <v>10.911300000000001</v>
      </c>
      <c r="H589" s="64">
        <f>18.5626* CHOOSE(CONTROL!$C$22, $C$13, 100%, $E$13)</f>
        <v>18.5626</v>
      </c>
      <c r="I589" s="64">
        <f>18.5628 * CHOOSE(CONTROL!$C$22, $C$13, 100%, $E$13)</f>
        <v>18.562799999999999</v>
      </c>
      <c r="J589" s="64">
        <f>10.9111 * CHOOSE(CONTROL!$C$22, $C$13, 100%, $E$13)</f>
        <v>10.911099999999999</v>
      </c>
      <c r="K589" s="64">
        <f>10.9113 * CHOOSE(CONTROL!$C$22, $C$13, 100%, $E$13)</f>
        <v>10.911300000000001</v>
      </c>
    </row>
    <row r="590" spans="1:11" ht="15">
      <c r="A590" s="13">
        <v>59596</v>
      </c>
      <c r="B590" s="63">
        <f>9.4497 * CHOOSE(CONTROL!$C$22, $C$13, 100%, $E$13)</f>
        <v>9.4497</v>
      </c>
      <c r="C590" s="63">
        <f>9.4497 * CHOOSE(CONTROL!$C$22, $C$13, 100%, $E$13)</f>
        <v>9.4497</v>
      </c>
      <c r="D590" s="63">
        <f>9.4696 * CHOOSE(CONTROL!$C$22, $C$13, 100%, $E$13)</f>
        <v>9.4695999999999998</v>
      </c>
      <c r="E590" s="64">
        <f>11.0041 * CHOOSE(CONTROL!$C$22, $C$13, 100%, $E$13)</f>
        <v>11.004099999999999</v>
      </c>
      <c r="F590" s="64">
        <f>11.0041 * CHOOSE(CONTROL!$C$22, $C$13, 100%, $E$13)</f>
        <v>11.004099999999999</v>
      </c>
      <c r="G590" s="64">
        <f>11.0042 * CHOOSE(CONTROL!$C$22, $C$13, 100%, $E$13)</f>
        <v>11.004200000000001</v>
      </c>
      <c r="H590" s="64">
        <f>18.6012* CHOOSE(CONTROL!$C$22, $C$13, 100%, $E$13)</f>
        <v>18.601199999999999</v>
      </c>
      <c r="I590" s="64">
        <f>18.6014 * CHOOSE(CONTROL!$C$22, $C$13, 100%, $E$13)</f>
        <v>18.601400000000002</v>
      </c>
      <c r="J590" s="64">
        <f>11.0041 * CHOOSE(CONTROL!$C$22, $C$13, 100%, $E$13)</f>
        <v>11.004099999999999</v>
      </c>
      <c r="K590" s="64">
        <f>11.0042 * CHOOSE(CONTROL!$C$22, $C$13, 100%, $E$13)</f>
        <v>11.004200000000001</v>
      </c>
    </row>
    <row r="591" spans="1:11" ht="15">
      <c r="A591" s="13">
        <v>59627</v>
      </c>
      <c r="B591" s="63">
        <f>9.452 * CHOOSE(CONTROL!$C$22, $C$13, 100%, $E$13)</f>
        <v>9.452</v>
      </c>
      <c r="C591" s="63">
        <f>9.452 * CHOOSE(CONTROL!$C$22, $C$13, 100%, $E$13)</f>
        <v>9.452</v>
      </c>
      <c r="D591" s="63">
        <f>9.472 * CHOOSE(CONTROL!$C$22, $C$13, 100%, $E$13)</f>
        <v>9.4719999999999995</v>
      </c>
      <c r="E591" s="64">
        <f>11.102 * CHOOSE(CONTROL!$C$22, $C$13, 100%, $E$13)</f>
        <v>11.102</v>
      </c>
      <c r="F591" s="64">
        <f>11.102 * CHOOSE(CONTROL!$C$22, $C$13, 100%, $E$13)</f>
        <v>11.102</v>
      </c>
      <c r="G591" s="64">
        <f>11.1022 * CHOOSE(CONTROL!$C$22, $C$13, 100%, $E$13)</f>
        <v>11.1022</v>
      </c>
      <c r="H591" s="64">
        <f>18.64* CHOOSE(CONTROL!$C$22, $C$13, 100%, $E$13)</f>
        <v>18.64</v>
      </c>
      <c r="I591" s="64">
        <f>18.6402 * CHOOSE(CONTROL!$C$22, $C$13, 100%, $E$13)</f>
        <v>18.6402</v>
      </c>
      <c r="J591" s="64">
        <f>11.102 * CHOOSE(CONTROL!$C$22, $C$13, 100%, $E$13)</f>
        <v>11.102</v>
      </c>
      <c r="K591" s="64">
        <f>11.1022 * CHOOSE(CONTROL!$C$22, $C$13, 100%, $E$13)</f>
        <v>11.1022</v>
      </c>
    </row>
    <row r="592" spans="1:11" ht="15">
      <c r="A592" s="13">
        <v>59657</v>
      </c>
      <c r="B592" s="63">
        <f>9.452 * CHOOSE(CONTROL!$C$22, $C$13, 100%, $E$13)</f>
        <v>9.452</v>
      </c>
      <c r="C592" s="63">
        <f>9.452 * CHOOSE(CONTROL!$C$22, $C$13, 100%, $E$13)</f>
        <v>9.452</v>
      </c>
      <c r="D592" s="63">
        <f>9.492 * CHOOSE(CONTROL!$C$22, $C$13, 100%, $E$13)</f>
        <v>9.4920000000000009</v>
      </c>
      <c r="E592" s="64">
        <f>11.1403 * CHOOSE(CONTROL!$C$22, $C$13, 100%, $E$13)</f>
        <v>11.1403</v>
      </c>
      <c r="F592" s="64">
        <f>11.1403 * CHOOSE(CONTROL!$C$22, $C$13, 100%, $E$13)</f>
        <v>11.1403</v>
      </c>
      <c r="G592" s="64">
        <f>11.1427 * CHOOSE(CONTROL!$C$22, $C$13, 100%, $E$13)</f>
        <v>11.1427</v>
      </c>
      <c r="H592" s="64">
        <f>18.6788* CHOOSE(CONTROL!$C$22, $C$13, 100%, $E$13)</f>
        <v>18.678799999999999</v>
      </c>
      <c r="I592" s="64">
        <f>18.6813 * CHOOSE(CONTROL!$C$22, $C$13, 100%, $E$13)</f>
        <v>18.6813</v>
      </c>
      <c r="J592" s="64">
        <f>11.1403 * CHOOSE(CONTROL!$C$22, $C$13, 100%, $E$13)</f>
        <v>11.1403</v>
      </c>
      <c r="K592" s="64">
        <f>11.1427 * CHOOSE(CONTROL!$C$22, $C$13, 100%, $E$13)</f>
        <v>11.1427</v>
      </c>
    </row>
    <row r="593" spans="1:11" ht="15">
      <c r="A593" s="13">
        <v>59688</v>
      </c>
      <c r="B593" s="63">
        <f>9.4581 * CHOOSE(CONTROL!$C$22, $C$13, 100%, $E$13)</f>
        <v>9.4581</v>
      </c>
      <c r="C593" s="63">
        <f>9.4581 * CHOOSE(CONTROL!$C$22, $C$13, 100%, $E$13)</f>
        <v>9.4581</v>
      </c>
      <c r="D593" s="63">
        <f>9.4981 * CHOOSE(CONTROL!$C$22, $C$13, 100%, $E$13)</f>
        <v>9.4981000000000009</v>
      </c>
      <c r="E593" s="64">
        <f>11.1062 * CHOOSE(CONTROL!$C$22, $C$13, 100%, $E$13)</f>
        <v>11.106199999999999</v>
      </c>
      <c r="F593" s="64">
        <f>11.1062 * CHOOSE(CONTROL!$C$22, $C$13, 100%, $E$13)</f>
        <v>11.106199999999999</v>
      </c>
      <c r="G593" s="64">
        <f>11.1087 * CHOOSE(CONTROL!$C$22, $C$13, 100%, $E$13)</f>
        <v>11.108700000000001</v>
      </c>
      <c r="H593" s="64">
        <f>18.7177* CHOOSE(CONTROL!$C$22, $C$13, 100%, $E$13)</f>
        <v>18.717700000000001</v>
      </c>
      <c r="I593" s="64">
        <f>18.7202 * CHOOSE(CONTROL!$C$22, $C$13, 100%, $E$13)</f>
        <v>18.720199999999998</v>
      </c>
      <c r="J593" s="64">
        <f>11.1062 * CHOOSE(CONTROL!$C$22, $C$13, 100%, $E$13)</f>
        <v>11.106199999999999</v>
      </c>
      <c r="K593" s="64">
        <f>11.1087 * CHOOSE(CONTROL!$C$22, $C$13, 100%, $E$13)</f>
        <v>11.108700000000001</v>
      </c>
    </row>
    <row r="594" spans="1:11" ht="15">
      <c r="A594" s="13">
        <v>59718</v>
      </c>
      <c r="B594" s="63">
        <f>9.6097 * CHOOSE(CONTROL!$C$22, $C$13, 100%, $E$13)</f>
        <v>9.6097000000000001</v>
      </c>
      <c r="C594" s="63">
        <f>9.6097 * CHOOSE(CONTROL!$C$22, $C$13, 100%, $E$13)</f>
        <v>9.6097000000000001</v>
      </c>
      <c r="D594" s="63">
        <f>9.6496 * CHOOSE(CONTROL!$C$22, $C$13, 100%, $E$13)</f>
        <v>9.6495999999999995</v>
      </c>
      <c r="E594" s="64">
        <f>11.321 * CHOOSE(CONTROL!$C$22, $C$13, 100%, $E$13)</f>
        <v>11.321</v>
      </c>
      <c r="F594" s="64">
        <f>11.321 * CHOOSE(CONTROL!$C$22, $C$13, 100%, $E$13)</f>
        <v>11.321</v>
      </c>
      <c r="G594" s="64">
        <f>11.3235 * CHOOSE(CONTROL!$C$22, $C$13, 100%, $E$13)</f>
        <v>11.323499999999999</v>
      </c>
      <c r="H594" s="64">
        <f>18.7567* CHOOSE(CONTROL!$C$22, $C$13, 100%, $E$13)</f>
        <v>18.756699999999999</v>
      </c>
      <c r="I594" s="64">
        <f>18.7592 * CHOOSE(CONTROL!$C$22, $C$13, 100%, $E$13)</f>
        <v>18.7592</v>
      </c>
      <c r="J594" s="64">
        <f>11.321 * CHOOSE(CONTROL!$C$22, $C$13, 100%, $E$13)</f>
        <v>11.321</v>
      </c>
      <c r="K594" s="64">
        <f>11.3235 * CHOOSE(CONTROL!$C$22, $C$13, 100%, $E$13)</f>
        <v>11.323499999999999</v>
      </c>
    </row>
    <row r="595" spans="1:11" ht="15">
      <c r="A595" s="13">
        <v>59749</v>
      </c>
      <c r="B595" s="63">
        <f>9.6164 * CHOOSE(CONTROL!$C$22, $C$13, 100%, $E$13)</f>
        <v>9.6164000000000005</v>
      </c>
      <c r="C595" s="63">
        <f>9.6164 * CHOOSE(CONTROL!$C$22, $C$13, 100%, $E$13)</f>
        <v>9.6164000000000005</v>
      </c>
      <c r="D595" s="63">
        <f>9.6563 * CHOOSE(CONTROL!$C$22, $C$13, 100%, $E$13)</f>
        <v>9.6562999999999999</v>
      </c>
      <c r="E595" s="64">
        <f>11.2108 * CHOOSE(CONTROL!$C$22, $C$13, 100%, $E$13)</f>
        <v>11.210800000000001</v>
      </c>
      <c r="F595" s="64">
        <f>11.2108 * CHOOSE(CONTROL!$C$22, $C$13, 100%, $E$13)</f>
        <v>11.210800000000001</v>
      </c>
      <c r="G595" s="64">
        <f>11.2132 * CHOOSE(CONTROL!$C$22, $C$13, 100%, $E$13)</f>
        <v>11.213200000000001</v>
      </c>
      <c r="H595" s="64">
        <f>18.7958* CHOOSE(CONTROL!$C$22, $C$13, 100%, $E$13)</f>
        <v>18.7958</v>
      </c>
      <c r="I595" s="64">
        <f>18.7983 * CHOOSE(CONTROL!$C$22, $C$13, 100%, $E$13)</f>
        <v>18.798300000000001</v>
      </c>
      <c r="J595" s="64">
        <f>11.2108 * CHOOSE(CONTROL!$C$22, $C$13, 100%, $E$13)</f>
        <v>11.210800000000001</v>
      </c>
      <c r="K595" s="64">
        <f>11.2132 * CHOOSE(CONTROL!$C$22, $C$13, 100%, $E$13)</f>
        <v>11.213200000000001</v>
      </c>
    </row>
    <row r="596" spans="1:11" ht="15">
      <c r="A596" s="13">
        <v>59780</v>
      </c>
      <c r="B596" s="63">
        <f>9.6134 * CHOOSE(CONTROL!$C$22, $C$13, 100%, $E$13)</f>
        <v>9.6134000000000004</v>
      </c>
      <c r="C596" s="63">
        <f>9.6134 * CHOOSE(CONTROL!$C$22, $C$13, 100%, $E$13)</f>
        <v>9.6134000000000004</v>
      </c>
      <c r="D596" s="63">
        <f>9.6533 * CHOOSE(CONTROL!$C$22, $C$13, 100%, $E$13)</f>
        <v>9.6532999999999998</v>
      </c>
      <c r="E596" s="64">
        <f>11.1959 * CHOOSE(CONTROL!$C$22, $C$13, 100%, $E$13)</f>
        <v>11.1959</v>
      </c>
      <c r="F596" s="64">
        <f>11.1959 * CHOOSE(CONTROL!$C$22, $C$13, 100%, $E$13)</f>
        <v>11.1959</v>
      </c>
      <c r="G596" s="64">
        <f>11.1984 * CHOOSE(CONTROL!$C$22, $C$13, 100%, $E$13)</f>
        <v>11.198399999999999</v>
      </c>
      <c r="H596" s="64">
        <f>18.835* CHOOSE(CONTROL!$C$22, $C$13, 100%, $E$13)</f>
        <v>18.835000000000001</v>
      </c>
      <c r="I596" s="64">
        <f>18.8374 * CHOOSE(CONTROL!$C$22, $C$13, 100%, $E$13)</f>
        <v>18.837399999999999</v>
      </c>
      <c r="J596" s="64">
        <f>11.1959 * CHOOSE(CONTROL!$C$22, $C$13, 100%, $E$13)</f>
        <v>11.1959</v>
      </c>
      <c r="K596" s="64">
        <f>11.1984 * CHOOSE(CONTROL!$C$22, $C$13, 100%, $E$13)</f>
        <v>11.198399999999999</v>
      </c>
    </row>
    <row r="597" spans="1:11" ht="15">
      <c r="A597" s="13">
        <v>59810</v>
      </c>
      <c r="B597" s="63">
        <f>9.6271 * CHOOSE(CONTROL!$C$22, $C$13, 100%, $E$13)</f>
        <v>9.6271000000000004</v>
      </c>
      <c r="C597" s="63">
        <f>9.6271 * CHOOSE(CONTROL!$C$22, $C$13, 100%, $E$13)</f>
        <v>9.6271000000000004</v>
      </c>
      <c r="D597" s="63">
        <f>9.6471 * CHOOSE(CONTROL!$C$22, $C$13, 100%, $E$13)</f>
        <v>9.6471</v>
      </c>
      <c r="E597" s="64">
        <f>11.2336 * CHOOSE(CONTROL!$C$22, $C$13, 100%, $E$13)</f>
        <v>11.233599999999999</v>
      </c>
      <c r="F597" s="64">
        <f>11.2336 * CHOOSE(CONTROL!$C$22, $C$13, 100%, $E$13)</f>
        <v>11.233599999999999</v>
      </c>
      <c r="G597" s="64">
        <f>11.2337 * CHOOSE(CONTROL!$C$22, $C$13, 100%, $E$13)</f>
        <v>11.233700000000001</v>
      </c>
      <c r="H597" s="64">
        <f>18.8742* CHOOSE(CONTROL!$C$22, $C$13, 100%, $E$13)</f>
        <v>18.874199999999998</v>
      </c>
      <c r="I597" s="64">
        <f>18.8744 * CHOOSE(CONTROL!$C$22, $C$13, 100%, $E$13)</f>
        <v>18.874400000000001</v>
      </c>
      <c r="J597" s="64">
        <f>11.2336 * CHOOSE(CONTROL!$C$22, $C$13, 100%, $E$13)</f>
        <v>11.233599999999999</v>
      </c>
      <c r="K597" s="64">
        <f>11.2337 * CHOOSE(CONTROL!$C$22, $C$13, 100%, $E$13)</f>
        <v>11.233700000000001</v>
      </c>
    </row>
    <row r="598" spans="1:11" ht="15">
      <c r="A598" s="13">
        <v>59841</v>
      </c>
      <c r="B598" s="63">
        <f>9.6302 * CHOOSE(CONTROL!$C$22, $C$13, 100%, $E$13)</f>
        <v>9.6302000000000003</v>
      </c>
      <c r="C598" s="63">
        <f>9.6302 * CHOOSE(CONTROL!$C$22, $C$13, 100%, $E$13)</f>
        <v>9.6302000000000003</v>
      </c>
      <c r="D598" s="63">
        <f>9.6501 * CHOOSE(CONTROL!$C$22, $C$13, 100%, $E$13)</f>
        <v>9.6501000000000001</v>
      </c>
      <c r="E598" s="64">
        <f>11.2612 * CHOOSE(CONTROL!$C$22, $C$13, 100%, $E$13)</f>
        <v>11.261200000000001</v>
      </c>
      <c r="F598" s="64">
        <f>11.2612 * CHOOSE(CONTROL!$C$22, $C$13, 100%, $E$13)</f>
        <v>11.261200000000001</v>
      </c>
      <c r="G598" s="64">
        <f>11.2614 * CHOOSE(CONTROL!$C$22, $C$13, 100%, $E$13)</f>
        <v>11.2614</v>
      </c>
      <c r="H598" s="64">
        <f>18.9135* CHOOSE(CONTROL!$C$22, $C$13, 100%, $E$13)</f>
        <v>18.913499999999999</v>
      </c>
      <c r="I598" s="64">
        <f>18.9137 * CHOOSE(CONTROL!$C$22, $C$13, 100%, $E$13)</f>
        <v>18.913699999999999</v>
      </c>
      <c r="J598" s="64">
        <f>11.2612 * CHOOSE(CONTROL!$C$22, $C$13, 100%, $E$13)</f>
        <v>11.261200000000001</v>
      </c>
      <c r="K598" s="64">
        <f>11.2614 * CHOOSE(CONTROL!$C$22, $C$13, 100%, $E$13)</f>
        <v>11.2614</v>
      </c>
    </row>
    <row r="599" spans="1:11" ht="15">
      <c r="A599" s="13">
        <v>59871</v>
      </c>
      <c r="B599" s="63">
        <f>9.6302 * CHOOSE(CONTROL!$C$22, $C$13, 100%, $E$13)</f>
        <v>9.6302000000000003</v>
      </c>
      <c r="C599" s="63">
        <f>9.6302 * CHOOSE(CONTROL!$C$22, $C$13, 100%, $E$13)</f>
        <v>9.6302000000000003</v>
      </c>
      <c r="D599" s="63">
        <f>9.6501 * CHOOSE(CONTROL!$C$22, $C$13, 100%, $E$13)</f>
        <v>9.6501000000000001</v>
      </c>
      <c r="E599" s="64">
        <f>11.1974 * CHOOSE(CONTROL!$C$22, $C$13, 100%, $E$13)</f>
        <v>11.1974</v>
      </c>
      <c r="F599" s="64">
        <f>11.1974 * CHOOSE(CONTROL!$C$22, $C$13, 100%, $E$13)</f>
        <v>11.1974</v>
      </c>
      <c r="G599" s="64">
        <f>11.1976 * CHOOSE(CONTROL!$C$22, $C$13, 100%, $E$13)</f>
        <v>11.1976</v>
      </c>
      <c r="H599" s="64">
        <f>18.9529* CHOOSE(CONTROL!$C$22, $C$13, 100%, $E$13)</f>
        <v>18.9529</v>
      </c>
      <c r="I599" s="64">
        <f>18.9531 * CHOOSE(CONTROL!$C$22, $C$13, 100%, $E$13)</f>
        <v>18.953099999999999</v>
      </c>
      <c r="J599" s="64">
        <f>11.1974 * CHOOSE(CONTROL!$C$22, $C$13, 100%, $E$13)</f>
        <v>11.1974</v>
      </c>
      <c r="K599" s="64">
        <f>11.1976 * CHOOSE(CONTROL!$C$22, $C$13, 100%, $E$13)</f>
        <v>11.1976</v>
      </c>
    </row>
    <row r="600" spans="1:11" ht="15">
      <c r="A600" s="13">
        <v>59902</v>
      </c>
      <c r="B600" s="63">
        <f>9.7011 * CHOOSE(CONTROL!$C$22, $C$13, 100%, $E$13)</f>
        <v>9.7011000000000003</v>
      </c>
      <c r="C600" s="63">
        <f>9.7011 * CHOOSE(CONTROL!$C$22, $C$13, 100%, $E$13)</f>
        <v>9.7011000000000003</v>
      </c>
      <c r="D600" s="63">
        <f>9.721 * CHOOSE(CONTROL!$C$22, $C$13, 100%, $E$13)</f>
        <v>9.7210000000000001</v>
      </c>
      <c r="E600" s="64">
        <f>11.3263 * CHOOSE(CONTROL!$C$22, $C$13, 100%, $E$13)</f>
        <v>11.3263</v>
      </c>
      <c r="F600" s="64">
        <f>11.3263 * CHOOSE(CONTROL!$C$22, $C$13, 100%, $E$13)</f>
        <v>11.3263</v>
      </c>
      <c r="G600" s="64">
        <f>11.3264 * CHOOSE(CONTROL!$C$22, $C$13, 100%, $E$13)</f>
        <v>11.3264</v>
      </c>
      <c r="H600" s="64">
        <f>18.9699* CHOOSE(CONTROL!$C$22, $C$13, 100%, $E$13)</f>
        <v>18.969899999999999</v>
      </c>
      <c r="I600" s="64">
        <f>18.97 * CHOOSE(CONTROL!$C$22, $C$13, 100%, $E$13)</f>
        <v>18.97</v>
      </c>
      <c r="J600" s="64">
        <f>11.3263 * CHOOSE(CONTROL!$C$22, $C$13, 100%, $E$13)</f>
        <v>11.3263</v>
      </c>
      <c r="K600" s="64">
        <f>11.3264 * CHOOSE(CONTROL!$C$22, $C$13, 100%, $E$13)</f>
        <v>11.3264</v>
      </c>
    </row>
    <row r="601" spans="1:11" ht="15">
      <c r="A601" s="13">
        <v>59933</v>
      </c>
      <c r="B601" s="63">
        <f>9.698 * CHOOSE(CONTROL!$C$22, $C$13, 100%, $E$13)</f>
        <v>9.6980000000000004</v>
      </c>
      <c r="C601" s="63">
        <f>9.698 * CHOOSE(CONTROL!$C$22, $C$13, 100%, $E$13)</f>
        <v>9.6980000000000004</v>
      </c>
      <c r="D601" s="63">
        <f>9.718 * CHOOSE(CONTROL!$C$22, $C$13, 100%, $E$13)</f>
        <v>9.718</v>
      </c>
      <c r="E601" s="64">
        <f>11.2003 * CHOOSE(CONTROL!$C$22, $C$13, 100%, $E$13)</f>
        <v>11.2003</v>
      </c>
      <c r="F601" s="64">
        <f>11.2003 * CHOOSE(CONTROL!$C$22, $C$13, 100%, $E$13)</f>
        <v>11.2003</v>
      </c>
      <c r="G601" s="64">
        <f>11.2005 * CHOOSE(CONTROL!$C$22, $C$13, 100%, $E$13)</f>
        <v>11.2005</v>
      </c>
      <c r="H601" s="64">
        <f>19.0094* CHOOSE(CONTROL!$C$22, $C$13, 100%, $E$13)</f>
        <v>19.009399999999999</v>
      </c>
      <c r="I601" s="64">
        <f>19.0096 * CHOOSE(CONTROL!$C$22, $C$13, 100%, $E$13)</f>
        <v>19.009599999999999</v>
      </c>
      <c r="J601" s="64">
        <f>11.2003 * CHOOSE(CONTROL!$C$22, $C$13, 100%, $E$13)</f>
        <v>11.2003</v>
      </c>
      <c r="K601" s="64">
        <f>11.2005 * CHOOSE(CONTROL!$C$22, $C$13, 100%, $E$13)</f>
        <v>11.2005</v>
      </c>
    </row>
    <row r="602" spans="1:11" ht="15">
      <c r="A602" s="13">
        <v>59962</v>
      </c>
      <c r="B602" s="63">
        <f>9.695 * CHOOSE(CONTROL!$C$22, $C$13, 100%, $E$13)</f>
        <v>9.6950000000000003</v>
      </c>
      <c r="C602" s="63">
        <f>9.695 * CHOOSE(CONTROL!$C$22, $C$13, 100%, $E$13)</f>
        <v>9.6950000000000003</v>
      </c>
      <c r="D602" s="63">
        <f>9.715 * CHOOSE(CONTROL!$C$22, $C$13, 100%, $E$13)</f>
        <v>9.7149999999999999</v>
      </c>
      <c r="E602" s="64">
        <f>11.2958 * CHOOSE(CONTROL!$C$22, $C$13, 100%, $E$13)</f>
        <v>11.2958</v>
      </c>
      <c r="F602" s="64">
        <f>11.2958 * CHOOSE(CONTROL!$C$22, $C$13, 100%, $E$13)</f>
        <v>11.2958</v>
      </c>
      <c r="G602" s="64">
        <f>11.296 * CHOOSE(CONTROL!$C$22, $C$13, 100%, $E$13)</f>
        <v>11.295999999999999</v>
      </c>
      <c r="H602" s="64">
        <f>19.049* CHOOSE(CONTROL!$C$22, $C$13, 100%, $E$13)</f>
        <v>19.048999999999999</v>
      </c>
      <c r="I602" s="64">
        <f>19.0492 * CHOOSE(CONTROL!$C$22, $C$13, 100%, $E$13)</f>
        <v>19.049199999999999</v>
      </c>
      <c r="J602" s="64">
        <f>11.2958 * CHOOSE(CONTROL!$C$22, $C$13, 100%, $E$13)</f>
        <v>11.2958</v>
      </c>
      <c r="K602" s="64">
        <f>11.296 * CHOOSE(CONTROL!$C$22, $C$13, 100%, $E$13)</f>
        <v>11.295999999999999</v>
      </c>
    </row>
    <row r="603" spans="1:11" ht="15">
      <c r="A603" s="13">
        <v>59993</v>
      </c>
      <c r="B603" s="63">
        <f>9.6976 * CHOOSE(CONTROL!$C$22, $C$13, 100%, $E$13)</f>
        <v>9.6975999999999996</v>
      </c>
      <c r="C603" s="63">
        <f>9.6976 * CHOOSE(CONTROL!$C$22, $C$13, 100%, $E$13)</f>
        <v>9.6975999999999996</v>
      </c>
      <c r="D603" s="63">
        <f>9.7175 * CHOOSE(CONTROL!$C$22, $C$13, 100%, $E$13)</f>
        <v>9.7174999999999994</v>
      </c>
      <c r="E603" s="64">
        <f>11.3964 * CHOOSE(CONTROL!$C$22, $C$13, 100%, $E$13)</f>
        <v>11.3964</v>
      </c>
      <c r="F603" s="64">
        <f>11.3964 * CHOOSE(CONTROL!$C$22, $C$13, 100%, $E$13)</f>
        <v>11.3964</v>
      </c>
      <c r="G603" s="64">
        <f>11.3966 * CHOOSE(CONTROL!$C$22, $C$13, 100%, $E$13)</f>
        <v>11.396599999999999</v>
      </c>
      <c r="H603" s="64">
        <f>19.0887* CHOOSE(CONTROL!$C$22, $C$13, 100%, $E$13)</f>
        <v>19.088699999999999</v>
      </c>
      <c r="I603" s="64">
        <f>19.0889 * CHOOSE(CONTROL!$C$22, $C$13, 100%, $E$13)</f>
        <v>19.088899999999999</v>
      </c>
      <c r="J603" s="64">
        <f>11.3964 * CHOOSE(CONTROL!$C$22, $C$13, 100%, $E$13)</f>
        <v>11.3964</v>
      </c>
      <c r="K603" s="64">
        <f>11.3966 * CHOOSE(CONTROL!$C$22, $C$13, 100%, $E$13)</f>
        <v>11.396599999999999</v>
      </c>
    </row>
    <row r="604" spans="1:11" ht="15">
      <c r="A604" s="13">
        <v>60023</v>
      </c>
      <c r="B604" s="63">
        <f>9.6976 * CHOOSE(CONTROL!$C$22, $C$13, 100%, $E$13)</f>
        <v>9.6975999999999996</v>
      </c>
      <c r="C604" s="63">
        <f>9.6976 * CHOOSE(CONTROL!$C$22, $C$13, 100%, $E$13)</f>
        <v>9.6975999999999996</v>
      </c>
      <c r="D604" s="63">
        <f>9.7375 * CHOOSE(CONTROL!$C$22, $C$13, 100%, $E$13)</f>
        <v>9.7375000000000007</v>
      </c>
      <c r="E604" s="64">
        <f>11.4357 * CHOOSE(CONTROL!$C$22, $C$13, 100%, $E$13)</f>
        <v>11.435700000000001</v>
      </c>
      <c r="F604" s="64">
        <f>11.4357 * CHOOSE(CONTROL!$C$22, $C$13, 100%, $E$13)</f>
        <v>11.435700000000001</v>
      </c>
      <c r="G604" s="64">
        <f>11.4382 * CHOOSE(CONTROL!$C$22, $C$13, 100%, $E$13)</f>
        <v>11.4382</v>
      </c>
      <c r="H604" s="64">
        <f>19.1284* CHOOSE(CONTROL!$C$22, $C$13, 100%, $E$13)</f>
        <v>19.128399999999999</v>
      </c>
      <c r="I604" s="64">
        <f>19.1309 * CHOOSE(CONTROL!$C$22, $C$13, 100%, $E$13)</f>
        <v>19.1309</v>
      </c>
      <c r="J604" s="64">
        <f>11.4357 * CHOOSE(CONTROL!$C$22, $C$13, 100%, $E$13)</f>
        <v>11.435700000000001</v>
      </c>
      <c r="K604" s="64">
        <f>11.4382 * CHOOSE(CONTROL!$C$22, $C$13, 100%, $E$13)</f>
        <v>11.4382</v>
      </c>
    </row>
    <row r="605" spans="1:11" ht="15">
      <c r="A605" s="13">
        <v>60054</v>
      </c>
      <c r="B605" s="63">
        <f>9.7037 * CHOOSE(CONTROL!$C$22, $C$13, 100%, $E$13)</f>
        <v>9.7036999999999995</v>
      </c>
      <c r="C605" s="63">
        <f>9.7037 * CHOOSE(CONTROL!$C$22, $C$13, 100%, $E$13)</f>
        <v>9.7036999999999995</v>
      </c>
      <c r="D605" s="63">
        <f>9.7436 * CHOOSE(CONTROL!$C$22, $C$13, 100%, $E$13)</f>
        <v>9.7436000000000007</v>
      </c>
      <c r="E605" s="64">
        <f>11.4007 * CHOOSE(CONTROL!$C$22, $C$13, 100%, $E$13)</f>
        <v>11.400700000000001</v>
      </c>
      <c r="F605" s="64">
        <f>11.4007 * CHOOSE(CONTROL!$C$22, $C$13, 100%, $E$13)</f>
        <v>11.400700000000001</v>
      </c>
      <c r="G605" s="64">
        <f>11.4031 * CHOOSE(CONTROL!$C$22, $C$13, 100%, $E$13)</f>
        <v>11.4031</v>
      </c>
      <c r="H605" s="64">
        <f>19.1683* CHOOSE(CONTROL!$C$22, $C$13, 100%, $E$13)</f>
        <v>19.168299999999999</v>
      </c>
      <c r="I605" s="64">
        <f>19.1707 * CHOOSE(CONTROL!$C$22, $C$13, 100%, $E$13)</f>
        <v>19.1707</v>
      </c>
      <c r="J605" s="64">
        <f>11.4007 * CHOOSE(CONTROL!$C$22, $C$13, 100%, $E$13)</f>
        <v>11.400700000000001</v>
      </c>
      <c r="K605" s="64">
        <f>11.4031 * CHOOSE(CONTROL!$C$22, $C$13, 100%, $E$13)</f>
        <v>11.4031</v>
      </c>
    </row>
    <row r="606" spans="1:11" ht="15">
      <c r="A606" s="13">
        <v>60084</v>
      </c>
      <c r="B606" s="63">
        <f>9.8589 * CHOOSE(CONTROL!$C$22, $C$13, 100%, $E$13)</f>
        <v>9.8589000000000002</v>
      </c>
      <c r="C606" s="63">
        <f>9.8589 * CHOOSE(CONTROL!$C$22, $C$13, 100%, $E$13)</f>
        <v>9.8589000000000002</v>
      </c>
      <c r="D606" s="63">
        <f>9.8989 * CHOOSE(CONTROL!$C$22, $C$13, 100%, $E$13)</f>
        <v>9.8988999999999994</v>
      </c>
      <c r="E606" s="64">
        <f>11.6209 * CHOOSE(CONTROL!$C$22, $C$13, 100%, $E$13)</f>
        <v>11.620900000000001</v>
      </c>
      <c r="F606" s="64">
        <f>11.6209 * CHOOSE(CONTROL!$C$22, $C$13, 100%, $E$13)</f>
        <v>11.620900000000001</v>
      </c>
      <c r="G606" s="64">
        <f>11.6234 * CHOOSE(CONTROL!$C$22, $C$13, 100%, $E$13)</f>
        <v>11.6234</v>
      </c>
      <c r="H606" s="64">
        <f>19.2082* CHOOSE(CONTROL!$C$22, $C$13, 100%, $E$13)</f>
        <v>19.208200000000001</v>
      </c>
      <c r="I606" s="64">
        <f>19.2107 * CHOOSE(CONTROL!$C$22, $C$13, 100%, $E$13)</f>
        <v>19.210699999999999</v>
      </c>
      <c r="J606" s="64">
        <f>11.6209 * CHOOSE(CONTROL!$C$22, $C$13, 100%, $E$13)</f>
        <v>11.620900000000001</v>
      </c>
      <c r="K606" s="64">
        <f>11.6234 * CHOOSE(CONTROL!$C$22, $C$13, 100%, $E$13)</f>
        <v>11.6234</v>
      </c>
    </row>
    <row r="607" spans="1:11" ht="15">
      <c r="A607" s="13">
        <v>60115</v>
      </c>
      <c r="B607" s="63">
        <f>9.8656 * CHOOSE(CONTROL!$C$22, $C$13, 100%, $E$13)</f>
        <v>9.8656000000000006</v>
      </c>
      <c r="C607" s="63">
        <f>9.8656 * CHOOSE(CONTROL!$C$22, $C$13, 100%, $E$13)</f>
        <v>9.8656000000000006</v>
      </c>
      <c r="D607" s="63">
        <f>9.9055 * CHOOSE(CONTROL!$C$22, $C$13, 100%, $E$13)</f>
        <v>9.9055</v>
      </c>
      <c r="E607" s="64">
        <f>11.5076 * CHOOSE(CONTROL!$C$22, $C$13, 100%, $E$13)</f>
        <v>11.5076</v>
      </c>
      <c r="F607" s="64">
        <f>11.5076 * CHOOSE(CONTROL!$C$22, $C$13, 100%, $E$13)</f>
        <v>11.5076</v>
      </c>
      <c r="G607" s="64">
        <f>11.5101 * CHOOSE(CONTROL!$C$22, $C$13, 100%, $E$13)</f>
        <v>11.5101</v>
      </c>
      <c r="H607" s="64">
        <f>19.2483* CHOOSE(CONTROL!$C$22, $C$13, 100%, $E$13)</f>
        <v>19.2483</v>
      </c>
      <c r="I607" s="64">
        <f>19.2507 * CHOOSE(CONTROL!$C$22, $C$13, 100%, $E$13)</f>
        <v>19.250699999999998</v>
      </c>
      <c r="J607" s="64">
        <f>11.5076 * CHOOSE(CONTROL!$C$22, $C$13, 100%, $E$13)</f>
        <v>11.5076</v>
      </c>
      <c r="K607" s="64">
        <f>11.5101 * CHOOSE(CONTROL!$C$22, $C$13, 100%, $E$13)</f>
        <v>11.5101</v>
      </c>
    </row>
    <row r="608" spans="1:11" ht="15">
      <c r="A608" s="13">
        <v>60146</v>
      </c>
      <c r="B608" s="63">
        <f>9.8626 * CHOOSE(CONTROL!$C$22, $C$13, 100%, $E$13)</f>
        <v>9.8626000000000005</v>
      </c>
      <c r="C608" s="63">
        <f>9.8626 * CHOOSE(CONTROL!$C$22, $C$13, 100%, $E$13)</f>
        <v>9.8626000000000005</v>
      </c>
      <c r="D608" s="63">
        <f>9.9025 * CHOOSE(CONTROL!$C$22, $C$13, 100%, $E$13)</f>
        <v>9.9024999999999999</v>
      </c>
      <c r="E608" s="64">
        <f>11.4924 * CHOOSE(CONTROL!$C$22, $C$13, 100%, $E$13)</f>
        <v>11.4924</v>
      </c>
      <c r="F608" s="64">
        <f>11.4924 * CHOOSE(CONTROL!$C$22, $C$13, 100%, $E$13)</f>
        <v>11.4924</v>
      </c>
      <c r="G608" s="64">
        <f>11.4948 * CHOOSE(CONTROL!$C$22, $C$13, 100%, $E$13)</f>
        <v>11.4948</v>
      </c>
      <c r="H608" s="64">
        <f>19.2884* CHOOSE(CONTROL!$C$22, $C$13, 100%, $E$13)</f>
        <v>19.288399999999999</v>
      </c>
      <c r="I608" s="64">
        <f>19.2908 * CHOOSE(CONTROL!$C$22, $C$13, 100%, $E$13)</f>
        <v>19.290800000000001</v>
      </c>
      <c r="J608" s="64">
        <f>11.4924 * CHOOSE(CONTROL!$C$22, $C$13, 100%, $E$13)</f>
        <v>11.4924</v>
      </c>
      <c r="K608" s="64">
        <f>11.4948 * CHOOSE(CONTROL!$C$22, $C$13, 100%, $E$13)</f>
        <v>11.4948</v>
      </c>
    </row>
    <row r="609" spans="1:11" ht="15">
      <c r="A609" s="13">
        <v>60176</v>
      </c>
      <c r="B609" s="63">
        <f>9.8772 * CHOOSE(CONTROL!$C$22, $C$13, 100%, $E$13)</f>
        <v>9.8772000000000002</v>
      </c>
      <c r="C609" s="63">
        <f>9.8772 * CHOOSE(CONTROL!$C$22, $C$13, 100%, $E$13)</f>
        <v>9.8772000000000002</v>
      </c>
      <c r="D609" s="63">
        <f>9.8971 * CHOOSE(CONTROL!$C$22, $C$13, 100%, $E$13)</f>
        <v>9.8971</v>
      </c>
      <c r="E609" s="64">
        <f>11.5314 * CHOOSE(CONTROL!$C$22, $C$13, 100%, $E$13)</f>
        <v>11.5314</v>
      </c>
      <c r="F609" s="64">
        <f>11.5314 * CHOOSE(CONTROL!$C$22, $C$13, 100%, $E$13)</f>
        <v>11.5314</v>
      </c>
      <c r="G609" s="64">
        <f>11.5316 * CHOOSE(CONTROL!$C$22, $C$13, 100%, $E$13)</f>
        <v>11.531599999999999</v>
      </c>
      <c r="H609" s="64">
        <f>19.3285* CHOOSE(CONTROL!$C$22, $C$13, 100%, $E$13)</f>
        <v>19.328499999999998</v>
      </c>
      <c r="I609" s="64">
        <f>19.3287 * CHOOSE(CONTROL!$C$22, $C$13, 100%, $E$13)</f>
        <v>19.328700000000001</v>
      </c>
      <c r="J609" s="64">
        <f>11.5314 * CHOOSE(CONTROL!$C$22, $C$13, 100%, $E$13)</f>
        <v>11.5314</v>
      </c>
      <c r="K609" s="64">
        <f>11.5316 * CHOOSE(CONTROL!$C$22, $C$13, 100%, $E$13)</f>
        <v>11.531599999999999</v>
      </c>
    </row>
    <row r="610" spans="1:11" ht="15">
      <c r="A610" s="13">
        <v>60207</v>
      </c>
      <c r="B610" s="63">
        <f>9.8802 * CHOOSE(CONTROL!$C$22, $C$13, 100%, $E$13)</f>
        <v>9.8802000000000003</v>
      </c>
      <c r="C610" s="63">
        <f>9.8802 * CHOOSE(CONTROL!$C$22, $C$13, 100%, $E$13)</f>
        <v>9.8802000000000003</v>
      </c>
      <c r="D610" s="63">
        <f>9.9002 * CHOOSE(CONTROL!$C$22, $C$13, 100%, $E$13)</f>
        <v>9.9001999999999999</v>
      </c>
      <c r="E610" s="64">
        <f>11.5597 * CHOOSE(CONTROL!$C$22, $C$13, 100%, $E$13)</f>
        <v>11.559699999999999</v>
      </c>
      <c r="F610" s="64">
        <f>11.5597 * CHOOSE(CONTROL!$C$22, $C$13, 100%, $E$13)</f>
        <v>11.559699999999999</v>
      </c>
      <c r="G610" s="64">
        <f>11.5599 * CHOOSE(CONTROL!$C$22, $C$13, 100%, $E$13)</f>
        <v>11.559900000000001</v>
      </c>
      <c r="H610" s="64">
        <f>19.3688* CHOOSE(CONTROL!$C$22, $C$13, 100%, $E$13)</f>
        <v>19.3688</v>
      </c>
      <c r="I610" s="64">
        <f>19.369 * CHOOSE(CONTROL!$C$22, $C$13, 100%, $E$13)</f>
        <v>19.369</v>
      </c>
      <c r="J610" s="64">
        <f>11.5597 * CHOOSE(CONTROL!$C$22, $C$13, 100%, $E$13)</f>
        <v>11.559699999999999</v>
      </c>
      <c r="K610" s="64">
        <f>11.5599 * CHOOSE(CONTROL!$C$22, $C$13, 100%, $E$13)</f>
        <v>11.559900000000001</v>
      </c>
    </row>
    <row r="611" spans="1:11" ht="15">
      <c r="A611" s="13">
        <v>60237</v>
      </c>
      <c r="B611" s="63">
        <f>9.8802 * CHOOSE(CONTROL!$C$22, $C$13, 100%, $E$13)</f>
        <v>9.8802000000000003</v>
      </c>
      <c r="C611" s="63">
        <f>9.8802 * CHOOSE(CONTROL!$C$22, $C$13, 100%, $E$13)</f>
        <v>9.8802000000000003</v>
      </c>
      <c r="D611" s="63">
        <f>9.9002 * CHOOSE(CONTROL!$C$22, $C$13, 100%, $E$13)</f>
        <v>9.9001999999999999</v>
      </c>
      <c r="E611" s="64">
        <f>11.4942 * CHOOSE(CONTROL!$C$22, $C$13, 100%, $E$13)</f>
        <v>11.494199999999999</v>
      </c>
      <c r="F611" s="64">
        <f>11.4942 * CHOOSE(CONTROL!$C$22, $C$13, 100%, $E$13)</f>
        <v>11.494199999999999</v>
      </c>
      <c r="G611" s="64">
        <f>11.4944 * CHOOSE(CONTROL!$C$22, $C$13, 100%, $E$13)</f>
        <v>11.494400000000001</v>
      </c>
      <c r="H611" s="64">
        <f>19.4092* CHOOSE(CONTROL!$C$22, $C$13, 100%, $E$13)</f>
        <v>19.409199999999998</v>
      </c>
      <c r="I611" s="64">
        <f>19.4093 * CHOOSE(CONTROL!$C$22, $C$13, 100%, $E$13)</f>
        <v>19.409300000000002</v>
      </c>
      <c r="J611" s="64">
        <f>11.4942 * CHOOSE(CONTROL!$C$22, $C$13, 100%, $E$13)</f>
        <v>11.494199999999999</v>
      </c>
      <c r="K611" s="64">
        <f>11.4944 * CHOOSE(CONTROL!$C$22, $C$13, 100%, $E$13)</f>
        <v>11.494400000000001</v>
      </c>
    </row>
    <row r="612" spans="1:11" ht="15">
      <c r="A612" s="13">
        <v>60268</v>
      </c>
      <c r="B612" s="63">
        <f>9.9464 * CHOOSE(CONTROL!$C$22, $C$13, 100%, $E$13)</f>
        <v>9.9464000000000006</v>
      </c>
      <c r="C612" s="63">
        <f>9.9464 * CHOOSE(CONTROL!$C$22, $C$13, 100%, $E$13)</f>
        <v>9.9464000000000006</v>
      </c>
      <c r="D612" s="63">
        <f>9.9664 * CHOOSE(CONTROL!$C$22, $C$13, 100%, $E$13)</f>
        <v>9.9664000000000001</v>
      </c>
      <c r="E612" s="64">
        <f>11.6187 * CHOOSE(CONTROL!$C$22, $C$13, 100%, $E$13)</f>
        <v>11.6187</v>
      </c>
      <c r="F612" s="64">
        <f>11.6187 * CHOOSE(CONTROL!$C$22, $C$13, 100%, $E$13)</f>
        <v>11.6187</v>
      </c>
      <c r="G612" s="64">
        <f>11.6188 * CHOOSE(CONTROL!$C$22, $C$13, 100%, $E$13)</f>
        <v>11.6188</v>
      </c>
      <c r="H612" s="64">
        <f>19.4158* CHOOSE(CONTROL!$C$22, $C$13, 100%, $E$13)</f>
        <v>19.415800000000001</v>
      </c>
      <c r="I612" s="64">
        <f>19.4159 * CHOOSE(CONTROL!$C$22, $C$13, 100%, $E$13)</f>
        <v>19.415900000000001</v>
      </c>
      <c r="J612" s="64">
        <f>11.6187 * CHOOSE(CONTROL!$C$22, $C$13, 100%, $E$13)</f>
        <v>11.6187</v>
      </c>
      <c r="K612" s="64">
        <f>11.6188 * CHOOSE(CONTROL!$C$22, $C$13, 100%, $E$13)</f>
        <v>11.6188</v>
      </c>
    </row>
    <row r="613" spans="1:11" ht="15">
      <c r="A613" s="13">
        <v>60299</v>
      </c>
      <c r="B613" s="63">
        <f>9.9433 * CHOOSE(CONTROL!$C$22, $C$13, 100%, $E$13)</f>
        <v>9.9433000000000007</v>
      </c>
      <c r="C613" s="63">
        <f>9.9433 * CHOOSE(CONTROL!$C$22, $C$13, 100%, $E$13)</f>
        <v>9.9433000000000007</v>
      </c>
      <c r="D613" s="63">
        <f>9.9633 * CHOOSE(CONTROL!$C$22, $C$13, 100%, $E$13)</f>
        <v>9.9633000000000003</v>
      </c>
      <c r="E613" s="64">
        <f>11.4895 * CHOOSE(CONTROL!$C$22, $C$13, 100%, $E$13)</f>
        <v>11.4895</v>
      </c>
      <c r="F613" s="64">
        <f>11.4895 * CHOOSE(CONTROL!$C$22, $C$13, 100%, $E$13)</f>
        <v>11.4895</v>
      </c>
      <c r="G613" s="64">
        <f>11.4897 * CHOOSE(CONTROL!$C$22, $C$13, 100%, $E$13)</f>
        <v>11.489699999999999</v>
      </c>
      <c r="H613" s="64">
        <f>19.4562* CHOOSE(CONTROL!$C$22, $C$13, 100%, $E$13)</f>
        <v>19.456199999999999</v>
      </c>
      <c r="I613" s="64">
        <f>19.4564 * CHOOSE(CONTROL!$C$22, $C$13, 100%, $E$13)</f>
        <v>19.456399999999999</v>
      </c>
      <c r="J613" s="64">
        <f>11.4895 * CHOOSE(CONTROL!$C$22, $C$13, 100%, $E$13)</f>
        <v>11.4895</v>
      </c>
      <c r="K613" s="64">
        <f>11.4897 * CHOOSE(CONTROL!$C$22, $C$13, 100%, $E$13)</f>
        <v>11.489699999999999</v>
      </c>
    </row>
    <row r="614" spans="1:11" ht="15">
      <c r="A614" s="13">
        <v>60327</v>
      </c>
      <c r="B614" s="63">
        <f>9.9403 * CHOOSE(CONTROL!$C$22, $C$13, 100%, $E$13)</f>
        <v>9.9403000000000006</v>
      </c>
      <c r="C614" s="63">
        <f>9.9403 * CHOOSE(CONTROL!$C$22, $C$13, 100%, $E$13)</f>
        <v>9.9403000000000006</v>
      </c>
      <c r="D614" s="63">
        <f>9.9603 * CHOOSE(CONTROL!$C$22, $C$13, 100%, $E$13)</f>
        <v>9.9603000000000002</v>
      </c>
      <c r="E614" s="64">
        <f>11.5875 * CHOOSE(CONTROL!$C$22, $C$13, 100%, $E$13)</f>
        <v>11.5875</v>
      </c>
      <c r="F614" s="64">
        <f>11.5875 * CHOOSE(CONTROL!$C$22, $C$13, 100%, $E$13)</f>
        <v>11.5875</v>
      </c>
      <c r="G614" s="64">
        <f>11.5877 * CHOOSE(CONTROL!$C$22, $C$13, 100%, $E$13)</f>
        <v>11.5877</v>
      </c>
      <c r="H614" s="64">
        <f>19.4967* CHOOSE(CONTROL!$C$22, $C$13, 100%, $E$13)</f>
        <v>19.496700000000001</v>
      </c>
      <c r="I614" s="64">
        <f>19.4969 * CHOOSE(CONTROL!$C$22, $C$13, 100%, $E$13)</f>
        <v>19.4969</v>
      </c>
      <c r="J614" s="64">
        <f>11.5875 * CHOOSE(CONTROL!$C$22, $C$13, 100%, $E$13)</f>
        <v>11.5875</v>
      </c>
      <c r="K614" s="64">
        <f>11.5877 * CHOOSE(CONTROL!$C$22, $C$13, 100%, $E$13)</f>
        <v>11.5877</v>
      </c>
    </row>
    <row r="615" spans="1:11" ht="15">
      <c r="A615" s="13">
        <v>60358</v>
      </c>
      <c r="B615" s="63">
        <f>9.9431 * CHOOSE(CONTROL!$C$22, $C$13, 100%, $E$13)</f>
        <v>9.9430999999999994</v>
      </c>
      <c r="C615" s="63">
        <f>9.9431 * CHOOSE(CONTROL!$C$22, $C$13, 100%, $E$13)</f>
        <v>9.9430999999999994</v>
      </c>
      <c r="D615" s="63">
        <f>9.9631 * CHOOSE(CONTROL!$C$22, $C$13, 100%, $E$13)</f>
        <v>9.9631000000000007</v>
      </c>
      <c r="E615" s="64">
        <f>11.6909 * CHOOSE(CONTROL!$C$22, $C$13, 100%, $E$13)</f>
        <v>11.690899999999999</v>
      </c>
      <c r="F615" s="64">
        <f>11.6909 * CHOOSE(CONTROL!$C$22, $C$13, 100%, $E$13)</f>
        <v>11.690899999999999</v>
      </c>
      <c r="G615" s="64">
        <f>11.691 * CHOOSE(CONTROL!$C$22, $C$13, 100%, $E$13)</f>
        <v>11.691000000000001</v>
      </c>
      <c r="H615" s="64">
        <f>19.5374* CHOOSE(CONTROL!$C$22, $C$13, 100%, $E$13)</f>
        <v>19.537400000000002</v>
      </c>
      <c r="I615" s="64">
        <f>19.5375 * CHOOSE(CONTROL!$C$22, $C$13, 100%, $E$13)</f>
        <v>19.537500000000001</v>
      </c>
      <c r="J615" s="64">
        <f>11.6909 * CHOOSE(CONTROL!$C$22, $C$13, 100%, $E$13)</f>
        <v>11.690899999999999</v>
      </c>
      <c r="K615" s="64">
        <f>11.691 * CHOOSE(CONTROL!$C$22, $C$13, 100%, $E$13)</f>
        <v>11.691000000000001</v>
      </c>
    </row>
    <row r="616" spans="1:11" ht="15">
      <c r="A616" s="13">
        <v>60388</v>
      </c>
      <c r="B616" s="63">
        <f>9.9431 * CHOOSE(CONTROL!$C$22, $C$13, 100%, $E$13)</f>
        <v>9.9430999999999994</v>
      </c>
      <c r="C616" s="63">
        <f>9.9431 * CHOOSE(CONTROL!$C$22, $C$13, 100%, $E$13)</f>
        <v>9.9430999999999994</v>
      </c>
      <c r="D616" s="63">
        <f>9.983 * CHOOSE(CONTROL!$C$22, $C$13, 100%, $E$13)</f>
        <v>9.9830000000000005</v>
      </c>
      <c r="E616" s="64">
        <f>11.7312 * CHOOSE(CONTROL!$C$22, $C$13, 100%, $E$13)</f>
        <v>11.731199999999999</v>
      </c>
      <c r="F616" s="64">
        <f>11.7312 * CHOOSE(CONTROL!$C$22, $C$13, 100%, $E$13)</f>
        <v>11.731199999999999</v>
      </c>
      <c r="G616" s="64">
        <f>11.7337 * CHOOSE(CONTROL!$C$22, $C$13, 100%, $E$13)</f>
        <v>11.733700000000001</v>
      </c>
      <c r="H616" s="64">
        <f>19.5781* CHOOSE(CONTROL!$C$22, $C$13, 100%, $E$13)</f>
        <v>19.578099999999999</v>
      </c>
      <c r="I616" s="64">
        <f>19.5805 * CHOOSE(CONTROL!$C$22, $C$13, 100%, $E$13)</f>
        <v>19.580500000000001</v>
      </c>
      <c r="J616" s="64">
        <f>11.7312 * CHOOSE(CONTROL!$C$22, $C$13, 100%, $E$13)</f>
        <v>11.731199999999999</v>
      </c>
      <c r="K616" s="64">
        <f>11.7337 * CHOOSE(CONTROL!$C$22, $C$13, 100%, $E$13)</f>
        <v>11.733700000000001</v>
      </c>
    </row>
    <row r="617" spans="1:11" ht="15">
      <c r="A617" s="13">
        <v>60419</v>
      </c>
      <c r="B617" s="63">
        <f>9.9492 * CHOOSE(CONTROL!$C$22, $C$13, 100%, $E$13)</f>
        <v>9.9491999999999994</v>
      </c>
      <c r="C617" s="63">
        <f>9.9492 * CHOOSE(CONTROL!$C$22, $C$13, 100%, $E$13)</f>
        <v>9.9491999999999994</v>
      </c>
      <c r="D617" s="63">
        <f>9.9891 * CHOOSE(CONTROL!$C$22, $C$13, 100%, $E$13)</f>
        <v>9.9891000000000005</v>
      </c>
      <c r="E617" s="64">
        <f>11.6951 * CHOOSE(CONTROL!$C$22, $C$13, 100%, $E$13)</f>
        <v>11.6951</v>
      </c>
      <c r="F617" s="64">
        <f>11.6951 * CHOOSE(CONTROL!$C$22, $C$13, 100%, $E$13)</f>
        <v>11.6951</v>
      </c>
      <c r="G617" s="64">
        <f>11.6975 * CHOOSE(CONTROL!$C$22, $C$13, 100%, $E$13)</f>
        <v>11.6975</v>
      </c>
      <c r="H617" s="64">
        <f>19.6189* CHOOSE(CONTROL!$C$22, $C$13, 100%, $E$13)</f>
        <v>19.6189</v>
      </c>
      <c r="I617" s="64">
        <f>19.6213 * CHOOSE(CONTROL!$C$22, $C$13, 100%, $E$13)</f>
        <v>19.621300000000002</v>
      </c>
      <c r="J617" s="64">
        <f>11.6951 * CHOOSE(CONTROL!$C$22, $C$13, 100%, $E$13)</f>
        <v>11.6951</v>
      </c>
      <c r="K617" s="64">
        <f>11.6975 * CHOOSE(CONTROL!$C$22, $C$13, 100%, $E$13)</f>
        <v>11.6975</v>
      </c>
    </row>
    <row r="618" spans="1:11" ht="15">
      <c r="A618" s="13">
        <v>60449</v>
      </c>
      <c r="B618" s="63">
        <f>10.1081 * CHOOSE(CONTROL!$C$22, $C$13, 100%, $E$13)</f>
        <v>10.1081</v>
      </c>
      <c r="C618" s="63">
        <f>10.1081 * CHOOSE(CONTROL!$C$22, $C$13, 100%, $E$13)</f>
        <v>10.1081</v>
      </c>
      <c r="D618" s="63">
        <f>10.1481 * CHOOSE(CONTROL!$C$22, $C$13, 100%, $E$13)</f>
        <v>10.148099999999999</v>
      </c>
      <c r="E618" s="64">
        <f>11.9208 * CHOOSE(CONTROL!$C$22, $C$13, 100%, $E$13)</f>
        <v>11.9208</v>
      </c>
      <c r="F618" s="64">
        <f>11.9208 * CHOOSE(CONTROL!$C$22, $C$13, 100%, $E$13)</f>
        <v>11.9208</v>
      </c>
      <c r="G618" s="64">
        <f>11.9233 * CHOOSE(CONTROL!$C$22, $C$13, 100%, $E$13)</f>
        <v>11.923299999999999</v>
      </c>
      <c r="H618" s="64">
        <f>19.6597* CHOOSE(CONTROL!$C$22, $C$13, 100%, $E$13)</f>
        <v>19.659700000000001</v>
      </c>
      <c r="I618" s="64">
        <f>19.6622 * CHOOSE(CONTROL!$C$22, $C$13, 100%, $E$13)</f>
        <v>19.662199999999999</v>
      </c>
      <c r="J618" s="64">
        <f>11.9208 * CHOOSE(CONTROL!$C$22, $C$13, 100%, $E$13)</f>
        <v>11.9208</v>
      </c>
      <c r="K618" s="64">
        <f>11.9233 * CHOOSE(CONTROL!$C$22, $C$13, 100%, $E$13)</f>
        <v>11.923299999999999</v>
      </c>
    </row>
    <row r="619" spans="1:11" ht="15">
      <c r="A619" s="13">
        <v>60480</v>
      </c>
      <c r="B619" s="63">
        <f>10.1148 * CHOOSE(CONTROL!$C$22, $C$13, 100%, $E$13)</f>
        <v>10.114800000000001</v>
      </c>
      <c r="C619" s="63">
        <f>10.1148 * CHOOSE(CONTROL!$C$22, $C$13, 100%, $E$13)</f>
        <v>10.114800000000001</v>
      </c>
      <c r="D619" s="63">
        <f>10.1548 * CHOOSE(CONTROL!$C$22, $C$13, 100%, $E$13)</f>
        <v>10.1548</v>
      </c>
      <c r="E619" s="64">
        <f>11.8045 * CHOOSE(CONTROL!$C$22, $C$13, 100%, $E$13)</f>
        <v>11.804500000000001</v>
      </c>
      <c r="F619" s="64">
        <f>11.8045 * CHOOSE(CONTROL!$C$22, $C$13, 100%, $E$13)</f>
        <v>11.804500000000001</v>
      </c>
      <c r="G619" s="64">
        <f>11.8069 * CHOOSE(CONTROL!$C$22, $C$13, 100%, $E$13)</f>
        <v>11.806900000000001</v>
      </c>
      <c r="H619" s="64">
        <f>19.7007* CHOOSE(CONTROL!$C$22, $C$13, 100%, $E$13)</f>
        <v>19.700700000000001</v>
      </c>
      <c r="I619" s="64">
        <f>19.7031 * CHOOSE(CONTROL!$C$22, $C$13, 100%, $E$13)</f>
        <v>19.703099999999999</v>
      </c>
      <c r="J619" s="64">
        <f>11.8045 * CHOOSE(CONTROL!$C$22, $C$13, 100%, $E$13)</f>
        <v>11.804500000000001</v>
      </c>
      <c r="K619" s="64">
        <f>11.8069 * CHOOSE(CONTROL!$C$22, $C$13, 100%, $E$13)</f>
        <v>11.806900000000001</v>
      </c>
    </row>
    <row r="620" spans="1:11" ht="15">
      <c r="A620" s="13">
        <v>60511</v>
      </c>
      <c r="B620" s="63">
        <f>10.1118 * CHOOSE(CONTROL!$C$22, $C$13, 100%, $E$13)</f>
        <v>10.111800000000001</v>
      </c>
      <c r="C620" s="63">
        <f>10.1118 * CHOOSE(CONTROL!$C$22, $C$13, 100%, $E$13)</f>
        <v>10.111800000000001</v>
      </c>
      <c r="D620" s="63">
        <f>10.1517 * CHOOSE(CONTROL!$C$22, $C$13, 100%, $E$13)</f>
        <v>10.1517</v>
      </c>
      <c r="E620" s="64">
        <f>11.7889 * CHOOSE(CONTROL!$C$22, $C$13, 100%, $E$13)</f>
        <v>11.7889</v>
      </c>
      <c r="F620" s="64">
        <f>11.7889 * CHOOSE(CONTROL!$C$22, $C$13, 100%, $E$13)</f>
        <v>11.7889</v>
      </c>
      <c r="G620" s="64">
        <f>11.7913 * CHOOSE(CONTROL!$C$22, $C$13, 100%, $E$13)</f>
        <v>11.7913</v>
      </c>
      <c r="H620" s="64">
        <f>19.7417* CHOOSE(CONTROL!$C$22, $C$13, 100%, $E$13)</f>
        <v>19.741700000000002</v>
      </c>
      <c r="I620" s="64">
        <f>19.7442 * CHOOSE(CONTROL!$C$22, $C$13, 100%, $E$13)</f>
        <v>19.744199999999999</v>
      </c>
      <c r="J620" s="64">
        <f>11.7889 * CHOOSE(CONTROL!$C$22, $C$13, 100%, $E$13)</f>
        <v>11.7889</v>
      </c>
      <c r="K620" s="64">
        <f>11.7913 * CHOOSE(CONTROL!$C$22, $C$13, 100%, $E$13)</f>
        <v>11.7913</v>
      </c>
    </row>
    <row r="621" spans="1:11" ht="15">
      <c r="A621" s="13">
        <v>60541</v>
      </c>
      <c r="B621" s="63">
        <f>10.1272 * CHOOSE(CONTROL!$C$22, $C$13, 100%, $E$13)</f>
        <v>10.1272</v>
      </c>
      <c r="C621" s="63">
        <f>10.1272 * CHOOSE(CONTROL!$C$22, $C$13, 100%, $E$13)</f>
        <v>10.1272</v>
      </c>
      <c r="D621" s="63">
        <f>10.1471 * CHOOSE(CONTROL!$C$22, $C$13, 100%, $E$13)</f>
        <v>10.1471</v>
      </c>
      <c r="E621" s="64">
        <f>11.8293 * CHOOSE(CONTROL!$C$22, $C$13, 100%, $E$13)</f>
        <v>11.8293</v>
      </c>
      <c r="F621" s="64">
        <f>11.8293 * CHOOSE(CONTROL!$C$22, $C$13, 100%, $E$13)</f>
        <v>11.8293</v>
      </c>
      <c r="G621" s="64">
        <f>11.8294 * CHOOSE(CONTROL!$C$22, $C$13, 100%, $E$13)</f>
        <v>11.8294</v>
      </c>
      <c r="H621" s="64">
        <f>19.7829* CHOOSE(CONTROL!$C$22, $C$13, 100%, $E$13)</f>
        <v>19.782900000000001</v>
      </c>
      <c r="I621" s="64">
        <f>19.783 * CHOOSE(CONTROL!$C$22, $C$13, 100%, $E$13)</f>
        <v>19.783000000000001</v>
      </c>
      <c r="J621" s="64">
        <f>11.8293 * CHOOSE(CONTROL!$C$22, $C$13, 100%, $E$13)</f>
        <v>11.8293</v>
      </c>
      <c r="K621" s="64">
        <f>11.8294 * CHOOSE(CONTROL!$C$22, $C$13, 100%, $E$13)</f>
        <v>11.8294</v>
      </c>
    </row>
    <row r="622" spans="1:11" ht="15">
      <c r="A622" s="13">
        <v>60572</v>
      </c>
      <c r="B622" s="63">
        <f>10.1302 * CHOOSE(CONTROL!$C$22, $C$13, 100%, $E$13)</f>
        <v>10.1302</v>
      </c>
      <c r="C622" s="63">
        <f>10.1302 * CHOOSE(CONTROL!$C$22, $C$13, 100%, $E$13)</f>
        <v>10.1302</v>
      </c>
      <c r="D622" s="63">
        <f>10.1502 * CHOOSE(CONTROL!$C$22, $C$13, 100%, $E$13)</f>
        <v>10.1502</v>
      </c>
      <c r="E622" s="64">
        <f>11.8583 * CHOOSE(CONTROL!$C$22, $C$13, 100%, $E$13)</f>
        <v>11.8583</v>
      </c>
      <c r="F622" s="64">
        <f>11.8583 * CHOOSE(CONTROL!$C$22, $C$13, 100%, $E$13)</f>
        <v>11.8583</v>
      </c>
      <c r="G622" s="64">
        <f>11.8584 * CHOOSE(CONTROL!$C$22, $C$13, 100%, $E$13)</f>
        <v>11.8584</v>
      </c>
      <c r="H622" s="64">
        <f>19.8241* CHOOSE(CONTROL!$C$22, $C$13, 100%, $E$13)</f>
        <v>19.824100000000001</v>
      </c>
      <c r="I622" s="64">
        <f>19.8242 * CHOOSE(CONTROL!$C$22, $C$13, 100%, $E$13)</f>
        <v>19.824200000000001</v>
      </c>
      <c r="J622" s="64">
        <f>11.8583 * CHOOSE(CONTROL!$C$22, $C$13, 100%, $E$13)</f>
        <v>11.8583</v>
      </c>
      <c r="K622" s="64">
        <f>11.8584 * CHOOSE(CONTROL!$C$22, $C$13, 100%, $E$13)</f>
        <v>11.8584</v>
      </c>
    </row>
    <row r="623" spans="1:11" ht="15">
      <c r="A623" s="13">
        <v>60602</v>
      </c>
      <c r="B623" s="63">
        <f>10.1302 * CHOOSE(CONTROL!$C$22, $C$13, 100%, $E$13)</f>
        <v>10.1302</v>
      </c>
      <c r="C623" s="63">
        <f>10.1302 * CHOOSE(CONTROL!$C$22, $C$13, 100%, $E$13)</f>
        <v>10.1302</v>
      </c>
      <c r="D623" s="63">
        <f>10.1502 * CHOOSE(CONTROL!$C$22, $C$13, 100%, $E$13)</f>
        <v>10.1502</v>
      </c>
      <c r="E623" s="64">
        <f>11.791 * CHOOSE(CONTROL!$C$22, $C$13, 100%, $E$13)</f>
        <v>11.791</v>
      </c>
      <c r="F623" s="64">
        <f>11.791 * CHOOSE(CONTROL!$C$22, $C$13, 100%, $E$13)</f>
        <v>11.791</v>
      </c>
      <c r="G623" s="64">
        <f>11.7912 * CHOOSE(CONTROL!$C$22, $C$13, 100%, $E$13)</f>
        <v>11.7912</v>
      </c>
      <c r="H623" s="64">
        <f>19.8654* CHOOSE(CONTROL!$C$22, $C$13, 100%, $E$13)</f>
        <v>19.865400000000001</v>
      </c>
      <c r="I623" s="64">
        <f>19.8655 * CHOOSE(CONTROL!$C$22, $C$13, 100%, $E$13)</f>
        <v>19.865500000000001</v>
      </c>
      <c r="J623" s="64">
        <f>11.791 * CHOOSE(CONTROL!$C$22, $C$13, 100%, $E$13)</f>
        <v>11.791</v>
      </c>
      <c r="K623" s="64">
        <f>11.7912 * CHOOSE(CONTROL!$C$22, $C$13, 100%, $E$13)</f>
        <v>11.7912</v>
      </c>
    </row>
    <row r="624" spans="1:11" ht="15">
      <c r="A624" s="13">
        <v>60633</v>
      </c>
      <c r="B624" s="63">
        <f>10.1917 * CHOOSE(CONTROL!$C$22, $C$13, 100%, $E$13)</f>
        <v>10.191700000000001</v>
      </c>
      <c r="C624" s="63">
        <f>10.1917 * CHOOSE(CONTROL!$C$22, $C$13, 100%, $E$13)</f>
        <v>10.191700000000001</v>
      </c>
      <c r="D624" s="63">
        <f>10.2117 * CHOOSE(CONTROL!$C$22, $C$13, 100%, $E$13)</f>
        <v>10.2117</v>
      </c>
      <c r="E624" s="64">
        <f>11.9111 * CHOOSE(CONTROL!$C$22, $C$13, 100%, $E$13)</f>
        <v>11.911099999999999</v>
      </c>
      <c r="F624" s="64">
        <f>11.9111 * CHOOSE(CONTROL!$C$22, $C$13, 100%, $E$13)</f>
        <v>11.911099999999999</v>
      </c>
      <c r="G624" s="64">
        <f>11.9113 * CHOOSE(CONTROL!$C$22, $C$13, 100%, $E$13)</f>
        <v>11.911300000000001</v>
      </c>
      <c r="H624" s="64">
        <f>19.8617* CHOOSE(CONTROL!$C$22, $C$13, 100%, $E$13)</f>
        <v>19.861699999999999</v>
      </c>
      <c r="I624" s="64">
        <f>19.8618 * CHOOSE(CONTROL!$C$22, $C$13, 100%, $E$13)</f>
        <v>19.861799999999999</v>
      </c>
      <c r="J624" s="64">
        <f>11.9111 * CHOOSE(CONTROL!$C$22, $C$13, 100%, $E$13)</f>
        <v>11.911099999999999</v>
      </c>
      <c r="K624" s="64">
        <f>11.9113 * CHOOSE(CONTROL!$C$22, $C$13, 100%, $E$13)</f>
        <v>11.911300000000001</v>
      </c>
    </row>
    <row r="625" spans="1:11" ht="15">
      <c r="A625" s="13">
        <v>60664</v>
      </c>
      <c r="B625" s="63">
        <f>10.1887 * CHOOSE(CONTROL!$C$22, $C$13, 100%, $E$13)</f>
        <v>10.188700000000001</v>
      </c>
      <c r="C625" s="63">
        <f>10.1887 * CHOOSE(CONTROL!$C$22, $C$13, 100%, $E$13)</f>
        <v>10.188700000000001</v>
      </c>
      <c r="D625" s="63">
        <f>10.2086 * CHOOSE(CONTROL!$C$22, $C$13, 100%, $E$13)</f>
        <v>10.208600000000001</v>
      </c>
      <c r="E625" s="64">
        <f>11.7787 * CHOOSE(CONTROL!$C$22, $C$13, 100%, $E$13)</f>
        <v>11.778700000000001</v>
      </c>
      <c r="F625" s="64">
        <f>11.7787 * CHOOSE(CONTROL!$C$22, $C$13, 100%, $E$13)</f>
        <v>11.778700000000001</v>
      </c>
      <c r="G625" s="64">
        <f>11.7789 * CHOOSE(CONTROL!$C$22, $C$13, 100%, $E$13)</f>
        <v>11.7789</v>
      </c>
      <c r="H625" s="64">
        <f>19.903* CHOOSE(CONTROL!$C$22, $C$13, 100%, $E$13)</f>
        <v>19.902999999999999</v>
      </c>
      <c r="I625" s="64">
        <f>19.9032 * CHOOSE(CONTROL!$C$22, $C$13, 100%, $E$13)</f>
        <v>19.903199999999998</v>
      </c>
      <c r="J625" s="64">
        <f>11.7787 * CHOOSE(CONTROL!$C$22, $C$13, 100%, $E$13)</f>
        <v>11.778700000000001</v>
      </c>
      <c r="K625" s="64">
        <f>11.7789 * CHOOSE(CONTROL!$C$22, $C$13, 100%, $E$13)</f>
        <v>11.7789</v>
      </c>
    </row>
    <row r="626" spans="1:11" ht="15">
      <c r="A626" s="13">
        <v>60692</v>
      </c>
      <c r="B626" s="63">
        <f>10.1856 * CHOOSE(CONTROL!$C$22, $C$13, 100%, $E$13)</f>
        <v>10.185600000000001</v>
      </c>
      <c r="C626" s="63">
        <f>10.1856 * CHOOSE(CONTROL!$C$22, $C$13, 100%, $E$13)</f>
        <v>10.185600000000001</v>
      </c>
      <c r="D626" s="63">
        <f>10.2056 * CHOOSE(CONTROL!$C$22, $C$13, 100%, $E$13)</f>
        <v>10.2056</v>
      </c>
      <c r="E626" s="64">
        <f>11.8793 * CHOOSE(CONTROL!$C$22, $C$13, 100%, $E$13)</f>
        <v>11.879300000000001</v>
      </c>
      <c r="F626" s="64">
        <f>11.8793 * CHOOSE(CONTROL!$C$22, $C$13, 100%, $E$13)</f>
        <v>11.879300000000001</v>
      </c>
      <c r="G626" s="64">
        <f>11.8794 * CHOOSE(CONTROL!$C$22, $C$13, 100%, $E$13)</f>
        <v>11.8794</v>
      </c>
      <c r="H626" s="64">
        <f>19.9445* CHOOSE(CONTROL!$C$22, $C$13, 100%, $E$13)</f>
        <v>19.944500000000001</v>
      </c>
      <c r="I626" s="64">
        <f>19.9447 * CHOOSE(CONTROL!$C$22, $C$13, 100%, $E$13)</f>
        <v>19.944700000000001</v>
      </c>
      <c r="J626" s="64">
        <f>11.8793 * CHOOSE(CONTROL!$C$22, $C$13, 100%, $E$13)</f>
        <v>11.879300000000001</v>
      </c>
      <c r="K626" s="64">
        <f>11.8794 * CHOOSE(CONTROL!$C$22, $C$13, 100%, $E$13)</f>
        <v>11.8794</v>
      </c>
    </row>
    <row r="627" spans="1:11" ht="15">
      <c r="A627" s="13">
        <v>60723</v>
      </c>
      <c r="B627" s="63">
        <f>10.1886 * CHOOSE(CONTROL!$C$22, $C$13, 100%, $E$13)</f>
        <v>10.188599999999999</v>
      </c>
      <c r="C627" s="63">
        <f>10.1886 * CHOOSE(CONTROL!$C$22, $C$13, 100%, $E$13)</f>
        <v>10.188599999999999</v>
      </c>
      <c r="D627" s="63">
        <f>10.2086 * CHOOSE(CONTROL!$C$22, $C$13, 100%, $E$13)</f>
        <v>10.208600000000001</v>
      </c>
      <c r="E627" s="64">
        <f>11.9853 * CHOOSE(CONTROL!$C$22, $C$13, 100%, $E$13)</f>
        <v>11.985300000000001</v>
      </c>
      <c r="F627" s="64">
        <f>11.9853 * CHOOSE(CONTROL!$C$22, $C$13, 100%, $E$13)</f>
        <v>11.985300000000001</v>
      </c>
      <c r="G627" s="64">
        <f>11.9855 * CHOOSE(CONTROL!$C$22, $C$13, 100%, $E$13)</f>
        <v>11.9855</v>
      </c>
      <c r="H627" s="64">
        <f>19.986* CHOOSE(CONTROL!$C$22, $C$13, 100%, $E$13)</f>
        <v>19.986000000000001</v>
      </c>
      <c r="I627" s="64">
        <f>19.9862 * CHOOSE(CONTROL!$C$22, $C$13, 100%, $E$13)</f>
        <v>19.9862</v>
      </c>
      <c r="J627" s="64">
        <f>11.9853 * CHOOSE(CONTROL!$C$22, $C$13, 100%, $E$13)</f>
        <v>11.985300000000001</v>
      </c>
      <c r="K627" s="64">
        <f>11.9855 * CHOOSE(CONTROL!$C$22, $C$13, 100%, $E$13)</f>
        <v>11.9855</v>
      </c>
    </row>
    <row r="628" spans="1:11" ht="15">
      <c r="A628" s="13">
        <v>60753</v>
      </c>
      <c r="B628" s="63">
        <f>10.1886 * CHOOSE(CONTROL!$C$22, $C$13, 100%, $E$13)</f>
        <v>10.188599999999999</v>
      </c>
      <c r="C628" s="63">
        <f>10.1886 * CHOOSE(CONTROL!$C$22, $C$13, 100%, $E$13)</f>
        <v>10.188599999999999</v>
      </c>
      <c r="D628" s="63">
        <f>10.2286 * CHOOSE(CONTROL!$C$22, $C$13, 100%, $E$13)</f>
        <v>10.2286</v>
      </c>
      <c r="E628" s="64">
        <f>12.0267 * CHOOSE(CONTROL!$C$22, $C$13, 100%, $E$13)</f>
        <v>12.0267</v>
      </c>
      <c r="F628" s="64">
        <f>12.0267 * CHOOSE(CONTROL!$C$22, $C$13, 100%, $E$13)</f>
        <v>12.0267</v>
      </c>
      <c r="G628" s="64">
        <f>12.0291 * CHOOSE(CONTROL!$C$22, $C$13, 100%, $E$13)</f>
        <v>12.0291</v>
      </c>
      <c r="H628" s="64">
        <f>20.0277* CHOOSE(CONTROL!$C$22, $C$13, 100%, $E$13)</f>
        <v>20.027699999999999</v>
      </c>
      <c r="I628" s="64">
        <f>20.0301 * CHOOSE(CONTROL!$C$22, $C$13, 100%, $E$13)</f>
        <v>20.030100000000001</v>
      </c>
      <c r="J628" s="64">
        <f>12.0267 * CHOOSE(CONTROL!$C$22, $C$13, 100%, $E$13)</f>
        <v>12.0267</v>
      </c>
      <c r="K628" s="64">
        <f>12.0291 * CHOOSE(CONTROL!$C$22, $C$13, 100%, $E$13)</f>
        <v>12.0291</v>
      </c>
    </row>
    <row r="629" spans="1:11" ht="15">
      <c r="A629" s="13">
        <v>60784</v>
      </c>
      <c r="B629" s="63">
        <f>10.1947 * CHOOSE(CONTROL!$C$22, $C$13, 100%, $E$13)</f>
        <v>10.194699999999999</v>
      </c>
      <c r="C629" s="63">
        <f>10.1947 * CHOOSE(CONTROL!$C$22, $C$13, 100%, $E$13)</f>
        <v>10.194699999999999</v>
      </c>
      <c r="D629" s="63">
        <f>10.2346 * CHOOSE(CONTROL!$C$22, $C$13, 100%, $E$13)</f>
        <v>10.2346</v>
      </c>
      <c r="E629" s="64">
        <f>11.9896 * CHOOSE(CONTROL!$C$22, $C$13, 100%, $E$13)</f>
        <v>11.989599999999999</v>
      </c>
      <c r="F629" s="64">
        <f>11.9896 * CHOOSE(CONTROL!$C$22, $C$13, 100%, $E$13)</f>
        <v>11.989599999999999</v>
      </c>
      <c r="G629" s="64">
        <f>11.992 * CHOOSE(CONTROL!$C$22, $C$13, 100%, $E$13)</f>
        <v>11.992000000000001</v>
      </c>
      <c r="H629" s="64">
        <f>20.0694* CHOOSE(CONTROL!$C$22, $C$13, 100%, $E$13)</f>
        <v>20.069400000000002</v>
      </c>
      <c r="I629" s="64">
        <f>20.0719 * CHOOSE(CONTROL!$C$22, $C$13, 100%, $E$13)</f>
        <v>20.071899999999999</v>
      </c>
      <c r="J629" s="64">
        <f>11.9896 * CHOOSE(CONTROL!$C$22, $C$13, 100%, $E$13)</f>
        <v>11.989599999999999</v>
      </c>
      <c r="K629" s="64">
        <f>11.992 * CHOOSE(CONTROL!$C$22, $C$13, 100%, $E$13)</f>
        <v>11.992000000000001</v>
      </c>
    </row>
    <row r="630" spans="1:11" ht="15">
      <c r="A630" s="13">
        <v>60814</v>
      </c>
      <c r="B630" s="63">
        <f>10.3574 * CHOOSE(CONTROL!$C$22, $C$13, 100%, $E$13)</f>
        <v>10.3574</v>
      </c>
      <c r="C630" s="63">
        <f>10.3574 * CHOOSE(CONTROL!$C$22, $C$13, 100%, $E$13)</f>
        <v>10.3574</v>
      </c>
      <c r="D630" s="63">
        <f>10.3973 * CHOOSE(CONTROL!$C$22, $C$13, 100%, $E$13)</f>
        <v>10.3973</v>
      </c>
      <c r="E630" s="64">
        <f>12.2207 * CHOOSE(CONTROL!$C$22, $C$13, 100%, $E$13)</f>
        <v>12.220700000000001</v>
      </c>
      <c r="F630" s="64">
        <f>12.2207 * CHOOSE(CONTROL!$C$22, $C$13, 100%, $E$13)</f>
        <v>12.220700000000001</v>
      </c>
      <c r="G630" s="64">
        <f>12.2231 * CHOOSE(CONTROL!$C$22, $C$13, 100%, $E$13)</f>
        <v>12.223100000000001</v>
      </c>
      <c r="H630" s="64">
        <f>20.1112* CHOOSE(CONTROL!$C$22, $C$13, 100%, $E$13)</f>
        <v>20.1112</v>
      </c>
      <c r="I630" s="64">
        <f>20.1137 * CHOOSE(CONTROL!$C$22, $C$13, 100%, $E$13)</f>
        <v>20.113700000000001</v>
      </c>
      <c r="J630" s="64">
        <f>12.2207 * CHOOSE(CONTROL!$C$22, $C$13, 100%, $E$13)</f>
        <v>12.220700000000001</v>
      </c>
      <c r="K630" s="64">
        <f>12.2231 * CHOOSE(CONTROL!$C$22, $C$13, 100%, $E$13)</f>
        <v>12.223100000000001</v>
      </c>
    </row>
    <row r="631" spans="1:11" ht="15">
      <c r="A631" s="13">
        <v>60845</v>
      </c>
      <c r="B631" s="63">
        <f>10.364 * CHOOSE(CONTROL!$C$22, $C$13, 100%, $E$13)</f>
        <v>10.364000000000001</v>
      </c>
      <c r="C631" s="63">
        <f>10.364 * CHOOSE(CONTROL!$C$22, $C$13, 100%, $E$13)</f>
        <v>10.364000000000001</v>
      </c>
      <c r="D631" s="63">
        <f>10.404 * CHOOSE(CONTROL!$C$22, $C$13, 100%, $E$13)</f>
        <v>10.404</v>
      </c>
      <c r="E631" s="64">
        <f>12.1013 * CHOOSE(CONTROL!$C$22, $C$13, 100%, $E$13)</f>
        <v>12.1013</v>
      </c>
      <c r="F631" s="64">
        <f>12.1013 * CHOOSE(CONTROL!$C$22, $C$13, 100%, $E$13)</f>
        <v>12.1013</v>
      </c>
      <c r="G631" s="64">
        <f>12.1037 * CHOOSE(CONTROL!$C$22, $C$13, 100%, $E$13)</f>
        <v>12.1037</v>
      </c>
      <c r="H631" s="64">
        <f>20.1531* CHOOSE(CONTROL!$C$22, $C$13, 100%, $E$13)</f>
        <v>20.153099999999998</v>
      </c>
      <c r="I631" s="64">
        <f>20.1556 * CHOOSE(CONTROL!$C$22, $C$13, 100%, $E$13)</f>
        <v>20.1556</v>
      </c>
      <c r="J631" s="64">
        <f>12.1013 * CHOOSE(CONTROL!$C$22, $C$13, 100%, $E$13)</f>
        <v>12.1013</v>
      </c>
      <c r="K631" s="64">
        <f>12.1037 * CHOOSE(CONTROL!$C$22, $C$13, 100%, $E$13)</f>
        <v>12.1037</v>
      </c>
    </row>
    <row r="632" spans="1:11" ht="15">
      <c r="A632" s="13">
        <v>60876</v>
      </c>
      <c r="B632" s="63">
        <f>10.361 * CHOOSE(CONTROL!$C$22, $C$13, 100%, $E$13)</f>
        <v>10.361000000000001</v>
      </c>
      <c r="C632" s="63">
        <f>10.361 * CHOOSE(CONTROL!$C$22, $C$13, 100%, $E$13)</f>
        <v>10.361000000000001</v>
      </c>
      <c r="D632" s="63">
        <f>10.4009 * CHOOSE(CONTROL!$C$22, $C$13, 100%, $E$13)</f>
        <v>10.4009</v>
      </c>
      <c r="E632" s="64">
        <f>12.0854 * CHOOSE(CONTROL!$C$22, $C$13, 100%, $E$13)</f>
        <v>12.0854</v>
      </c>
      <c r="F632" s="64">
        <f>12.0854 * CHOOSE(CONTROL!$C$22, $C$13, 100%, $E$13)</f>
        <v>12.0854</v>
      </c>
      <c r="G632" s="64">
        <f>12.0878 * CHOOSE(CONTROL!$C$22, $C$13, 100%, $E$13)</f>
        <v>12.0878</v>
      </c>
      <c r="H632" s="64">
        <f>20.1951* CHOOSE(CONTROL!$C$22, $C$13, 100%, $E$13)</f>
        <v>20.1951</v>
      </c>
      <c r="I632" s="64">
        <f>20.1976 * CHOOSE(CONTROL!$C$22, $C$13, 100%, $E$13)</f>
        <v>20.197600000000001</v>
      </c>
      <c r="J632" s="64">
        <f>12.0854 * CHOOSE(CONTROL!$C$22, $C$13, 100%, $E$13)</f>
        <v>12.0854</v>
      </c>
      <c r="K632" s="64">
        <f>12.0878 * CHOOSE(CONTROL!$C$22, $C$13, 100%, $E$13)</f>
        <v>12.0878</v>
      </c>
    </row>
    <row r="633" spans="1:11" ht="15">
      <c r="A633" s="13">
        <v>60906</v>
      </c>
      <c r="B633" s="63">
        <f>10.3772 * CHOOSE(CONTROL!$C$22, $C$13, 100%, $E$13)</f>
        <v>10.3772</v>
      </c>
      <c r="C633" s="63">
        <f>10.3772 * CHOOSE(CONTROL!$C$22, $C$13, 100%, $E$13)</f>
        <v>10.3772</v>
      </c>
      <c r="D633" s="63">
        <f>10.3972 * CHOOSE(CONTROL!$C$22, $C$13, 100%, $E$13)</f>
        <v>10.3972</v>
      </c>
      <c r="E633" s="64">
        <f>12.1271 * CHOOSE(CONTROL!$C$22, $C$13, 100%, $E$13)</f>
        <v>12.1271</v>
      </c>
      <c r="F633" s="64">
        <f>12.1271 * CHOOSE(CONTROL!$C$22, $C$13, 100%, $E$13)</f>
        <v>12.1271</v>
      </c>
      <c r="G633" s="64">
        <f>12.1273 * CHOOSE(CONTROL!$C$22, $C$13, 100%, $E$13)</f>
        <v>12.1273</v>
      </c>
      <c r="H633" s="64">
        <f>20.2372* CHOOSE(CONTROL!$C$22, $C$13, 100%, $E$13)</f>
        <v>20.237200000000001</v>
      </c>
      <c r="I633" s="64">
        <f>20.2374 * CHOOSE(CONTROL!$C$22, $C$13, 100%, $E$13)</f>
        <v>20.237400000000001</v>
      </c>
      <c r="J633" s="64">
        <f>12.1271 * CHOOSE(CONTROL!$C$22, $C$13, 100%, $E$13)</f>
        <v>12.1271</v>
      </c>
      <c r="K633" s="64">
        <f>12.1273 * CHOOSE(CONTROL!$C$22, $C$13, 100%, $E$13)</f>
        <v>12.1273</v>
      </c>
    </row>
    <row r="634" spans="1:11" ht="15">
      <c r="A634" s="13">
        <v>60937</v>
      </c>
      <c r="B634" s="63">
        <f>10.3802 * CHOOSE(CONTROL!$C$22, $C$13, 100%, $E$13)</f>
        <v>10.3802</v>
      </c>
      <c r="C634" s="63">
        <f>10.3802 * CHOOSE(CONTROL!$C$22, $C$13, 100%, $E$13)</f>
        <v>10.3802</v>
      </c>
      <c r="D634" s="63">
        <f>10.4002 * CHOOSE(CONTROL!$C$22, $C$13, 100%, $E$13)</f>
        <v>10.4002</v>
      </c>
      <c r="E634" s="64">
        <f>12.1568 * CHOOSE(CONTROL!$C$22, $C$13, 100%, $E$13)</f>
        <v>12.1568</v>
      </c>
      <c r="F634" s="64">
        <f>12.1568 * CHOOSE(CONTROL!$C$22, $C$13, 100%, $E$13)</f>
        <v>12.1568</v>
      </c>
      <c r="G634" s="64">
        <f>12.157 * CHOOSE(CONTROL!$C$22, $C$13, 100%, $E$13)</f>
        <v>12.157</v>
      </c>
      <c r="H634" s="64">
        <f>20.2793* CHOOSE(CONTROL!$C$22, $C$13, 100%, $E$13)</f>
        <v>20.279299999999999</v>
      </c>
      <c r="I634" s="64">
        <f>20.2795 * CHOOSE(CONTROL!$C$22, $C$13, 100%, $E$13)</f>
        <v>20.279499999999999</v>
      </c>
      <c r="J634" s="64">
        <f>12.1568 * CHOOSE(CONTROL!$C$22, $C$13, 100%, $E$13)</f>
        <v>12.1568</v>
      </c>
      <c r="K634" s="64">
        <f>12.157 * CHOOSE(CONTROL!$C$22, $C$13, 100%, $E$13)</f>
        <v>12.157</v>
      </c>
    </row>
    <row r="635" spans="1:11" ht="15">
      <c r="A635" s="13">
        <v>60967</v>
      </c>
      <c r="B635" s="63">
        <f>10.3802 * CHOOSE(CONTROL!$C$22, $C$13, 100%, $E$13)</f>
        <v>10.3802</v>
      </c>
      <c r="C635" s="63">
        <f>10.3802 * CHOOSE(CONTROL!$C$22, $C$13, 100%, $E$13)</f>
        <v>10.3802</v>
      </c>
      <c r="D635" s="63">
        <f>10.4002 * CHOOSE(CONTROL!$C$22, $C$13, 100%, $E$13)</f>
        <v>10.4002</v>
      </c>
      <c r="E635" s="64">
        <f>12.0879 * CHOOSE(CONTROL!$C$22, $C$13, 100%, $E$13)</f>
        <v>12.087899999999999</v>
      </c>
      <c r="F635" s="64">
        <f>12.0879 * CHOOSE(CONTROL!$C$22, $C$13, 100%, $E$13)</f>
        <v>12.087899999999999</v>
      </c>
      <c r="G635" s="64">
        <f>12.088 * CHOOSE(CONTROL!$C$22, $C$13, 100%, $E$13)</f>
        <v>12.087999999999999</v>
      </c>
      <c r="H635" s="64">
        <f>20.3216* CHOOSE(CONTROL!$C$22, $C$13, 100%, $E$13)</f>
        <v>20.3216</v>
      </c>
      <c r="I635" s="64">
        <f>20.3218 * CHOOSE(CONTROL!$C$22, $C$13, 100%, $E$13)</f>
        <v>20.3218</v>
      </c>
      <c r="J635" s="64">
        <f>12.0879 * CHOOSE(CONTROL!$C$22, $C$13, 100%, $E$13)</f>
        <v>12.087899999999999</v>
      </c>
      <c r="K635" s="64">
        <f>12.088 * CHOOSE(CONTROL!$C$22, $C$13, 100%, $E$13)</f>
        <v>12.087999999999999</v>
      </c>
    </row>
    <row r="636" spans="1:11" ht="15">
      <c r="A636" s="13">
        <v>60998</v>
      </c>
      <c r="B636" s="63">
        <f>10.437 * CHOOSE(CONTROL!$C$22, $C$13, 100%, $E$13)</f>
        <v>10.436999999999999</v>
      </c>
      <c r="C636" s="63">
        <f>10.437 * CHOOSE(CONTROL!$C$22, $C$13, 100%, $E$13)</f>
        <v>10.436999999999999</v>
      </c>
      <c r="D636" s="63">
        <f>10.457 * CHOOSE(CONTROL!$C$22, $C$13, 100%, $E$13)</f>
        <v>10.457000000000001</v>
      </c>
      <c r="E636" s="64">
        <f>12.2035 * CHOOSE(CONTROL!$C$22, $C$13, 100%, $E$13)</f>
        <v>12.2035</v>
      </c>
      <c r="F636" s="64">
        <f>12.2035 * CHOOSE(CONTROL!$C$22, $C$13, 100%, $E$13)</f>
        <v>12.2035</v>
      </c>
      <c r="G636" s="64">
        <f>12.2037 * CHOOSE(CONTROL!$C$22, $C$13, 100%, $E$13)</f>
        <v>12.2037</v>
      </c>
      <c r="H636" s="64">
        <f>20.3075* CHOOSE(CONTROL!$C$22, $C$13, 100%, $E$13)</f>
        <v>20.307500000000001</v>
      </c>
      <c r="I636" s="64">
        <f>20.3077 * CHOOSE(CONTROL!$C$22, $C$13, 100%, $E$13)</f>
        <v>20.307700000000001</v>
      </c>
      <c r="J636" s="64">
        <f>12.2035 * CHOOSE(CONTROL!$C$22, $C$13, 100%, $E$13)</f>
        <v>12.2035</v>
      </c>
      <c r="K636" s="64">
        <f>12.2037 * CHOOSE(CONTROL!$C$22, $C$13, 100%, $E$13)</f>
        <v>12.2037</v>
      </c>
    </row>
    <row r="637" spans="1:11" ht="15">
      <c r="A637" s="13">
        <v>61029</v>
      </c>
      <c r="B637" s="63">
        <f>10.434 * CHOOSE(CONTROL!$C$22, $C$13, 100%, $E$13)</f>
        <v>10.433999999999999</v>
      </c>
      <c r="C637" s="63">
        <f>10.434 * CHOOSE(CONTROL!$C$22, $C$13, 100%, $E$13)</f>
        <v>10.433999999999999</v>
      </c>
      <c r="D637" s="63">
        <f>10.454 * CHOOSE(CONTROL!$C$22, $C$13, 100%, $E$13)</f>
        <v>10.454000000000001</v>
      </c>
      <c r="E637" s="64">
        <f>12.0679 * CHOOSE(CONTROL!$C$22, $C$13, 100%, $E$13)</f>
        <v>12.0679</v>
      </c>
      <c r="F637" s="64">
        <f>12.0679 * CHOOSE(CONTROL!$C$22, $C$13, 100%, $E$13)</f>
        <v>12.0679</v>
      </c>
      <c r="G637" s="64">
        <f>12.0681 * CHOOSE(CONTROL!$C$22, $C$13, 100%, $E$13)</f>
        <v>12.068099999999999</v>
      </c>
      <c r="H637" s="64">
        <f>20.3499* CHOOSE(CONTROL!$C$22, $C$13, 100%, $E$13)</f>
        <v>20.349900000000002</v>
      </c>
      <c r="I637" s="64">
        <f>20.35 * CHOOSE(CONTROL!$C$22, $C$13, 100%, $E$13)</f>
        <v>20.350000000000001</v>
      </c>
      <c r="J637" s="64">
        <f>12.0679 * CHOOSE(CONTROL!$C$22, $C$13, 100%, $E$13)</f>
        <v>12.0679</v>
      </c>
      <c r="K637" s="64">
        <f>12.0681 * CHOOSE(CONTROL!$C$22, $C$13, 100%, $E$13)</f>
        <v>12.068099999999999</v>
      </c>
    </row>
    <row r="638" spans="1:11" ht="15">
      <c r="A638" s="13">
        <v>61057</v>
      </c>
      <c r="B638" s="63">
        <f>10.4309 * CHOOSE(CONTROL!$C$22, $C$13, 100%, $E$13)</f>
        <v>10.430899999999999</v>
      </c>
      <c r="C638" s="63">
        <f>10.4309 * CHOOSE(CONTROL!$C$22, $C$13, 100%, $E$13)</f>
        <v>10.430899999999999</v>
      </c>
      <c r="D638" s="63">
        <f>10.4509 * CHOOSE(CONTROL!$C$22, $C$13, 100%, $E$13)</f>
        <v>10.450900000000001</v>
      </c>
      <c r="E638" s="64">
        <f>12.171 * CHOOSE(CONTROL!$C$22, $C$13, 100%, $E$13)</f>
        <v>12.170999999999999</v>
      </c>
      <c r="F638" s="64">
        <f>12.171 * CHOOSE(CONTROL!$C$22, $C$13, 100%, $E$13)</f>
        <v>12.170999999999999</v>
      </c>
      <c r="G638" s="64">
        <f>12.1712 * CHOOSE(CONTROL!$C$22, $C$13, 100%, $E$13)</f>
        <v>12.171200000000001</v>
      </c>
      <c r="H638" s="64">
        <f>20.3922* CHOOSE(CONTROL!$C$22, $C$13, 100%, $E$13)</f>
        <v>20.392199999999999</v>
      </c>
      <c r="I638" s="64">
        <f>20.3924 * CHOOSE(CONTROL!$C$22, $C$13, 100%, $E$13)</f>
        <v>20.392399999999999</v>
      </c>
      <c r="J638" s="64">
        <f>12.171 * CHOOSE(CONTROL!$C$22, $C$13, 100%, $E$13)</f>
        <v>12.170999999999999</v>
      </c>
      <c r="K638" s="64">
        <f>12.1712 * CHOOSE(CONTROL!$C$22, $C$13, 100%, $E$13)</f>
        <v>12.171200000000001</v>
      </c>
    </row>
    <row r="639" spans="1:11" ht="15">
      <c r="A639" s="13">
        <v>61088</v>
      </c>
      <c r="B639" s="63">
        <f>10.4341 * CHOOSE(CONTROL!$C$22, $C$13, 100%, $E$13)</f>
        <v>10.434100000000001</v>
      </c>
      <c r="C639" s="63">
        <f>10.4341 * CHOOSE(CONTROL!$C$22, $C$13, 100%, $E$13)</f>
        <v>10.434100000000001</v>
      </c>
      <c r="D639" s="63">
        <f>10.4541 * CHOOSE(CONTROL!$C$22, $C$13, 100%, $E$13)</f>
        <v>10.4541</v>
      </c>
      <c r="E639" s="64">
        <f>12.2798 * CHOOSE(CONTROL!$C$22, $C$13, 100%, $E$13)</f>
        <v>12.2798</v>
      </c>
      <c r="F639" s="64">
        <f>12.2798 * CHOOSE(CONTROL!$C$22, $C$13, 100%, $E$13)</f>
        <v>12.2798</v>
      </c>
      <c r="G639" s="64">
        <f>12.2799 * CHOOSE(CONTROL!$C$22, $C$13, 100%, $E$13)</f>
        <v>12.2799</v>
      </c>
      <c r="H639" s="64">
        <f>20.4347* CHOOSE(CONTROL!$C$22, $C$13, 100%, $E$13)</f>
        <v>20.434699999999999</v>
      </c>
      <c r="I639" s="64">
        <f>20.4349 * CHOOSE(CONTROL!$C$22, $C$13, 100%, $E$13)</f>
        <v>20.434899999999999</v>
      </c>
      <c r="J639" s="64">
        <f>12.2798 * CHOOSE(CONTROL!$C$22, $C$13, 100%, $E$13)</f>
        <v>12.2798</v>
      </c>
      <c r="K639" s="64">
        <f>12.2799 * CHOOSE(CONTROL!$C$22, $C$13, 100%, $E$13)</f>
        <v>12.2799</v>
      </c>
    </row>
    <row r="640" spans="1:11" ht="15">
      <c r="A640" s="13">
        <v>61118</v>
      </c>
      <c r="B640" s="63">
        <f>10.4341 * CHOOSE(CONTROL!$C$22, $C$13, 100%, $E$13)</f>
        <v>10.434100000000001</v>
      </c>
      <c r="C640" s="63">
        <f>10.4341 * CHOOSE(CONTROL!$C$22, $C$13, 100%, $E$13)</f>
        <v>10.434100000000001</v>
      </c>
      <c r="D640" s="63">
        <f>10.4741 * CHOOSE(CONTROL!$C$22, $C$13, 100%, $E$13)</f>
        <v>10.4741</v>
      </c>
      <c r="E640" s="64">
        <f>12.3221 * CHOOSE(CONTROL!$C$22, $C$13, 100%, $E$13)</f>
        <v>12.322100000000001</v>
      </c>
      <c r="F640" s="64">
        <f>12.3221 * CHOOSE(CONTROL!$C$22, $C$13, 100%, $E$13)</f>
        <v>12.322100000000001</v>
      </c>
      <c r="G640" s="64">
        <f>12.3246 * CHOOSE(CONTROL!$C$22, $C$13, 100%, $E$13)</f>
        <v>12.3246</v>
      </c>
      <c r="H640" s="64">
        <f>20.4773* CHOOSE(CONTROL!$C$22, $C$13, 100%, $E$13)</f>
        <v>20.4773</v>
      </c>
      <c r="I640" s="64">
        <f>20.4798 * CHOOSE(CONTROL!$C$22, $C$13, 100%, $E$13)</f>
        <v>20.479800000000001</v>
      </c>
      <c r="J640" s="64">
        <f>12.3221 * CHOOSE(CONTROL!$C$22, $C$13, 100%, $E$13)</f>
        <v>12.322100000000001</v>
      </c>
      <c r="K640" s="64">
        <f>12.3246 * CHOOSE(CONTROL!$C$22, $C$13, 100%, $E$13)</f>
        <v>12.3246</v>
      </c>
    </row>
    <row r="641" spans="1:11" ht="15">
      <c r="A641" s="13">
        <v>61149</v>
      </c>
      <c r="B641" s="63">
        <f>10.4402 * CHOOSE(CONTROL!$C$22, $C$13, 100%, $E$13)</f>
        <v>10.440200000000001</v>
      </c>
      <c r="C641" s="63">
        <f>10.4402 * CHOOSE(CONTROL!$C$22, $C$13, 100%, $E$13)</f>
        <v>10.440200000000001</v>
      </c>
      <c r="D641" s="63">
        <f>10.4802 * CHOOSE(CONTROL!$C$22, $C$13, 100%, $E$13)</f>
        <v>10.4802</v>
      </c>
      <c r="E641" s="64">
        <f>12.284 * CHOOSE(CONTROL!$C$22, $C$13, 100%, $E$13)</f>
        <v>12.284000000000001</v>
      </c>
      <c r="F641" s="64">
        <f>12.284 * CHOOSE(CONTROL!$C$22, $C$13, 100%, $E$13)</f>
        <v>12.284000000000001</v>
      </c>
      <c r="G641" s="64">
        <f>12.2864 * CHOOSE(CONTROL!$C$22, $C$13, 100%, $E$13)</f>
        <v>12.2864</v>
      </c>
      <c r="H641" s="64">
        <f>20.52* CHOOSE(CONTROL!$C$22, $C$13, 100%, $E$13)</f>
        <v>20.52</v>
      </c>
      <c r="I641" s="64">
        <f>20.5224 * CHOOSE(CONTROL!$C$22, $C$13, 100%, $E$13)</f>
        <v>20.522400000000001</v>
      </c>
      <c r="J641" s="64">
        <f>12.284 * CHOOSE(CONTROL!$C$22, $C$13, 100%, $E$13)</f>
        <v>12.284000000000001</v>
      </c>
      <c r="K641" s="64">
        <f>12.2864 * CHOOSE(CONTROL!$C$22, $C$13, 100%, $E$13)</f>
        <v>12.2864</v>
      </c>
    </row>
    <row r="642" spans="1:11" ht="15">
      <c r="A642" s="13">
        <v>61179</v>
      </c>
      <c r="B642" s="63">
        <f>10.6066 * CHOOSE(CONTROL!$C$22, $C$13, 100%, $E$13)</f>
        <v>10.6066</v>
      </c>
      <c r="C642" s="63">
        <f>10.6066 * CHOOSE(CONTROL!$C$22, $C$13, 100%, $E$13)</f>
        <v>10.6066</v>
      </c>
      <c r="D642" s="63">
        <f>10.6465 * CHOOSE(CONTROL!$C$22, $C$13, 100%, $E$13)</f>
        <v>10.6465</v>
      </c>
      <c r="E642" s="64">
        <f>12.5206 * CHOOSE(CONTROL!$C$22, $C$13, 100%, $E$13)</f>
        <v>12.5206</v>
      </c>
      <c r="F642" s="64">
        <f>12.5206 * CHOOSE(CONTROL!$C$22, $C$13, 100%, $E$13)</f>
        <v>12.5206</v>
      </c>
      <c r="G642" s="64">
        <f>12.523 * CHOOSE(CONTROL!$C$22, $C$13, 100%, $E$13)</f>
        <v>12.523</v>
      </c>
      <c r="H642" s="64">
        <f>20.5627* CHOOSE(CONTROL!$C$22, $C$13, 100%, $E$13)</f>
        <v>20.5627</v>
      </c>
      <c r="I642" s="64">
        <f>20.5652 * CHOOSE(CONTROL!$C$22, $C$13, 100%, $E$13)</f>
        <v>20.565200000000001</v>
      </c>
      <c r="J642" s="64">
        <f>12.5206 * CHOOSE(CONTROL!$C$22, $C$13, 100%, $E$13)</f>
        <v>12.5206</v>
      </c>
      <c r="K642" s="64">
        <f>12.523 * CHOOSE(CONTROL!$C$22, $C$13, 100%, $E$13)</f>
        <v>12.523</v>
      </c>
    </row>
    <row r="643" spans="1:11" ht="15">
      <c r="A643" s="13">
        <v>61210</v>
      </c>
      <c r="B643" s="63">
        <f>10.6133 * CHOOSE(CONTROL!$C$22, $C$13, 100%, $E$13)</f>
        <v>10.613300000000001</v>
      </c>
      <c r="C643" s="63">
        <f>10.6133 * CHOOSE(CONTROL!$C$22, $C$13, 100%, $E$13)</f>
        <v>10.613300000000001</v>
      </c>
      <c r="D643" s="63">
        <f>10.6532 * CHOOSE(CONTROL!$C$22, $C$13, 100%, $E$13)</f>
        <v>10.6532</v>
      </c>
      <c r="E643" s="64">
        <f>12.3981 * CHOOSE(CONTROL!$C$22, $C$13, 100%, $E$13)</f>
        <v>12.398099999999999</v>
      </c>
      <c r="F643" s="64">
        <f>12.3981 * CHOOSE(CONTROL!$C$22, $C$13, 100%, $E$13)</f>
        <v>12.398099999999999</v>
      </c>
      <c r="G643" s="64">
        <f>12.4006 * CHOOSE(CONTROL!$C$22, $C$13, 100%, $E$13)</f>
        <v>12.400600000000001</v>
      </c>
      <c r="H643" s="64">
        <f>20.6056* CHOOSE(CONTROL!$C$22, $C$13, 100%, $E$13)</f>
        <v>20.605599999999999</v>
      </c>
      <c r="I643" s="64">
        <f>20.608 * CHOOSE(CONTROL!$C$22, $C$13, 100%, $E$13)</f>
        <v>20.608000000000001</v>
      </c>
      <c r="J643" s="64">
        <f>12.3981 * CHOOSE(CONTROL!$C$22, $C$13, 100%, $E$13)</f>
        <v>12.398099999999999</v>
      </c>
      <c r="K643" s="64">
        <f>12.4006 * CHOOSE(CONTROL!$C$22, $C$13, 100%, $E$13)</f>
        <v>12.400600000000001</v>
      </c>
    </row>
    <row r="644" spans="1:11" ht="15">
      <c r="A644" s="13">
        <v>61241</v>
      </c>
      <c r="B644" s="63">
        <f>10.6102 * CHOOSE(CONTROL!$C$22, $C$13, 100%, $E$13)</f>
        <v>10.610200000000001</v>
      </c>
      <c r="C644" s="63">
        <f>10.6102 * CHOOSE(CONTROL!$C$22, $C$13, 100%, $E$13)</f>
        <v>10.610200000000001</v>
      </c>
      <c r="D644" s="63">
        <f>10.6502 * CHOOSE(CONTROL!$C$22, $C$13, 100%, $E$13)</f>
        <v>10.6502</v>
      </c>
      <c r="E644" s="64">
        <f>12.3819 * CHOOSE(CONTROL!$C$22, $C$13, 100%, $E$13)</f>
        <v>12.3819</v>
      </c>
      <c r="F644" s="64">
        <f>12.3819 * CHOOSE(CONTROL!$C$22, $C$13, 100%, $E$13)</f>
        <v>12.3819</v>
      </c>
      <c r="G644" s="64">
        <f>12.3843 * CHOOSE(CONTROL!$C$22, $C$13, 100%, $E$13)</f>
        <v>12.3843</v>
      </c>
      <c r="H644" s="64">
        <f>20.6485* CHOOSE(CONTROL!$C$22, $C$13, 100%, $E$13)</f>
        <v>20.648499999999999</v>
      </c>
      <c r="I644" s="64">
        <f>20.6509 * CHOOSE(CONTROL!$C$22, $C$13, 100%, $E$13)</f>
        <v>20.6509</v>
      </c>
      <c r="J644" s="64">
        <f>12.3819 * CHOOSE(CONTROL!$C$22, $C$13, 100%, $E$13)</f>
        <v>12.3819</v>
      </c>
      <c r="K644" s="64">
        <f>12.3843 * CHOOSE(CONTROL!$C$22, $C$13, 100%, $E$13)</f>
        <v>12.3843</v>
      </c>
    </row>
    <row r="645" spans="1:11" ht="15">
      <c r="A645" s="13">
        <v>61271</v>
      </c>
      <c r="B645" s="63">
        <f>10.6272 * CHOOSE(CONTROL!$C$22, $C$13, 100%, $E$13)</f>
        <v>10.6272</v>
      </c>
      <c r="C645" s="63">
        <f>10.6272 * CHOOSE(CONTROL!$C$22, $C$13, 100%, $E$13)</f>
        <v>10.6272</v>
      </c>
      <c r="D645" s="63">
        <f>10.6472 * CHOOSE(CONTROL!$C$22, $C$13, 100%, $E$13)</f>
        <v>10.6472</v>
      </c>
      <c r="E645" s="64">
        <f>12.425 * CHOOSE(CONTROL!$C$22, $C$13, 100%, $E$13)</f>
        <v>12.425000000000001</v>
      </c>
      <c r="F645" s="64">
        <f>12.425 * CHOOSE(CONTROL!$C$22, $C$13, 100%, $E$13)</f>
        <v>12.425000000000001</v>
      </c>
      <c r="G645" s="64">
        <f>12.4251 * CHOOSE(CONTROL!$C$22, $C$13, 100%, $E$13)</f>
        <v>12.4251</v>
      </c>
      <c r="H645" s="64">
        <f>20.6915* CHOOSE(CONTROL!$C$22, $C$13, 100%, $E$13)</f>
        <v>20.691500000000001</v>
      </c>
      <c r="I645" s="64">
        <f>20.6917 * CHOOSE(CONTROL!$C$22, $C$13, 100%, $E$13)</f>
        <v>20.691700000000001</v>
      </c>
      <c r="J645" s="64">
        <f>12.425 * CHOOSE(CONTROL!$C$22, $C$13, 100%, $E$13)</f>
        <v>12.425000000000001</v>
      </c>
      <c r="K645" s="64">
        <f>12.4251 * CHOOSE(CONTROL!$C$22, $C$13, 100%, $E$13)</f>
        <v>12.4251</v>
      </c>
    </row>
    <row r="646" spans="1:11" ht="15">
      <c r="A646" s="13">
        <v>61302</v>
      </c>
      <c r="B646" s="63">
        <f>10.6302 * CHOOSE(CONTROL!$C$22, $C$13, 100%, $E$13)</f>
        <v>10.6302</v>
      </c>
      <c r="C646" s="63">
        <f>10.6302 * CHOOSE(CONTROL!$C$22, $C$13, 100%, $E$13)</f>
        <v>10.6302</v>
      </c>
      <c r="D646" s="63">
        <f>10.6502 * CHOOSE(CONTROL!$C$22, $C$13, 100%, $E$13)</f>
        <v>10.6502</v>
      </c>
      <c r="E646" s="64">
        <f>12.4553 * CHOOSE(CONTROL!$C$22, $C$13, 100%, $E$13)</f>
        <v>12.455299999999999</v>
      </c>
      <c r="F646" s="64">
        <f>12.4553 * CHOOSE(CONTROL!$C$22, $C$13, 100%, $E$13)</f>
        <v>12.455299999999999</v>
      </c>
      <c r="G646" s="64">
        <f>12.4555 * CHOOSE(CONTROL!$C$22, $C$13, 100%, $E$13)</f>
        <v>12.455500000000001</v>
      </c>
      <c r="H646" s="64">
        <f>20.7346* CHOOSE(CONTROL!$C$22, $C$13, 100%, $E$13)</f>
        <v>20.7346</v>
      </c>
      <c r="I646" s="64">
        <f>20.7348 * CHOOSE(CONTROL!$C$22, $C$13, 100%, $E$13)</f>
        <v>20.7348</v>
      </c>
      <c r="J646" s="64">
        <f>12.4553 * CHOOSE(CONTROL!$C$22, $C$13, 100%, $E$13)</f>
        <v>12.455299999999999</v>
      </c>
      <c r="K646" s="64">
        <f>12.4555 * CHOOSE(CONTROL!$C$22, $C$13, 100%, $E$13)</f>
        <v>12.455500000000001</v>
      </c>
    </row>
    <row r="647" spans="1:11" ht="15">
      <c r="A647" s="13">
        <v>61332</v>
      </c>
      <c r="B647" s="63">
        <f>10.6302 * CHOOSE(CONTROL!$C$22, $C$13, 100%, $E$13)</f>
        <v>10.6302</v>
      </c>
      <c r="C647" s="63">
        <f>10.6302 * CHOOSE(CONTROL!$C$22, $C$13, 100%, $E$13)</f>
        <v>10.6302</v>
      </c>
      <c r="D647" s="63">
        <f>10.6502 * CHOOSE(CONTROL!$C$22, $C$13, 100%, $E$13)</f>
        <v>10.6502</v>
      </c>
      <c r="E647" s="64">
        <f>12.3847 * CHOOSE(CONTROL!$C$22, $C$13, 100%, $E$13)</f>
        <v>12.3847</v>
      </c>
      <c r="F647" s="64">
        <f>12.3847 * CHOOSE(CONTROL!$C$22, $C$13, 100%, $E$13)</f>
        <v>12.3847</v>
      </c>
      <c r="G647" s="64">
        <f>12.3849 * CHOOSE(CONTROL!$C$22, $C$13, 100%, $E$13)</f>
        <v>12.3849</v>
      </c>
      <c r="H647" s="64">
        <f>20.7778* CHOOSE(CONTROL!$C$22, $C$13, 100%, $E$13)</f>
        <v>20.777799999999999</v>
      </c>
      <c r="I647" s="64">
        <f>20.778 * CHOOSE(CONTROL!$C$22, $C$13, 100%, $E$13)</f>
        <v>20.777999999999999</v>
      </c>
      <c r="J647" s="64">
        <f>12.3847 * CHOOSE(CONTROL!$C$22, $C$13, 100%, $E$13)</f>
        <v>12.3847</v>
      </c>
      <c r="K647" s="64">
        <f>12.3849 * CHOOSE(CONTROL!$C$22, $C$13, 100%, $E$13)</f>
        <v>12.3849</v>
      </c>
    </row>
    <row r="648" spans="1:11" ht="15">
      <c r="A648" s="13">
        <v>61363</v>
      </c>
      <c r="B648" s="63">
        <f>10.6823 * CHOOSE(CONTROL!$C$22, $C$13, 100%, $E$13)</f>
        <v>10.6823</v>
      </c>
      <c r="C648" s="63">
        <f>10.6823 * CHOOSE(CONTROL!$C$22, $C$13, 100%, $E$13)</f>
        <v>10.6823</v>
      </c>
      <c r="D648" s="63">
        <f>10.7023 * CHOOSE(CONTROL!$C$22, $C$13, 100%, $E$13)</f>
        <v>10.702299999999999</v>
      </c>
      <c r="E648" s="64">
        <f>12.4959 * CHOOSE(CONTROL!$C$22, $C$13, 100%, $E$13)</f>
        <v>12.495900000000001</v>
      </c>
      <c r="F648" s="64">
        <f>12.4959 * CHOOSE(CONTROL!$C$22, $C$13, 100%, $E$13)</f>
        <v>12.495900000000001</v>
      </c>
      <c r="G648" s="64">
        <f>12.4961 * CHOOSE(CONTROL!$C$22, $C$13, 100%, $E$13)</f>
        <v>12.4961</v>
      </c>
      <c r="H648" s="64">
        <f>20.7534* CHOOSE(CONTROL!$C$22, $C$13, 100%, $E$13)</f>
        <v>20.753399999999999</v>
      </c>
      <c r="I648" s="64">
        <f>20.7536 * CHOOSE(CONTROL!$C$22, $C$13, 100%, $E$13)</f>
        <v>20.753599999999999</v>
      </c>
      <c r="J648" s="64">
        <f>12.4959 * CHOOSE(CONTROL!$C$22, $C$13, 100%, $E$13)</f>
        <v>12.495900000000001</v>
      </c>
      <c r="K648" s="64">
        <f>12.4961 * CHOOSE(CONTROL!$C$22, $C$13, 100%, $E$13)</f>
        <v>12.4961</v>
      </c>
    </row>
    <row r="649" spans="1:11" ht="15">
      <c r="A649" s="13">
        <v>61394</v>
      </c>
      <c r="B649" s="63">
        <f>10.6793 * CHOOSE(CONTROL!$C$22, $C$13, 100%, $E$13)</f>
        <v>10.6793</v>
      </c>
      <c r="C649" s="63">
        <f>10.6793 * CHOOSE(CONTROL!$C$22, $C$13, 100%, $E$13)</f>
        <v>10.6793</v>
      </c>
      <c r="D649" s="63">
        <f>10.6993 * CHOOSE(CONTROL!$C$22, $C$13, 100%, $E$13)</f>
        <v>10.699299999999999</v>
      </c>
      <c r="E649" s="64">
        <f>12.3571 * CHOOSE(CONTROL!$C$22, $C$13, 100%, $E$13)</f>
        <v>12.357100000000001</v>
      </c>
      <c r="F649" s="64">
        <f>12.3571 * CHOOSE(CONTROL!$C$22, $C$13, 100%, $E$13)</f>
        <v>12.357100000000001</v>
      </c>
      <c r="G649" s="64">
        <f>12.3573 * CHOOSE(CONTROL!$C$22, $C$13, 100%, $E$13)</f>
        <v>12.3573</v>
      </c>
      <c r="H649" s="64">
        <f>20.7967* CHOOSE(CONTROL!$C$22, $C$13, 100%, $E$13)</f>
        <v>20.796700000000001</v>
      </c>
      <c r="I649" s="64">
        <f>20.7969 * CHOOSE(CONTROL!$C$22, $C$13, 100%, $E$13)</f>
        <v>20.796900000000001</v>
      </c>
      <c r="J649" s="64">
        <f>12.3571 * CHOOSE(CONTROL!$C$22, $C$13, 100%, $E$13)</f>
        <v>12.357100000000001</v>
      </c>
      <c r="K649" s="64">
        <f>12.3573 * CHOOSE(CONTROL!$C$22, $C$13, 100%, $E$13)</f>
        <v>12.3573</v>
      </c>
    </row>
    <row r="650" spans="1:11" ht="15">
      <c r="A650" s="13">
        <v>61423</v>
      </c>
      <c r="B650" s="63">
        <f>10.6763 * CHOOSE(CONTROL!$C$22, $C$13, 100%, $E$13)</f>
        <v>10.676299999999999</v>
      </c>
      <c r="C650" s="63">
        <f>10.6763 * CHOOSE(CONTROL!$C$22, $C$13, 100%, $E$13)</f>
        <v>10.676299999999999</v>
      </c>
      <c r="D650" s="63">
        <f>10.6962 * CHOOSE(CONTROL!$C$22, $C$13, 100%, $E$13)</f>
        <v>10.696199999999999</v>
      </c>
      <c r="E650" s="64">
        <f>12.4627 * CHOOSE(CONTROL!$C$22, $C$13, 100%, $E$13)</f>
        <v>12.4627</v>
      </c>
      <c r="F650" s="64">
        <f>12.4627 * CHOOSE(CONTROL!$C$22, $C$13, 100%, $E$13)</f>
        <v>12.4627</v>
      </c>
      <c r="G650" s="64">
        <f>12.4629 * CHOOSE(CONTROL!$C$22, $C$13, 100%, $E$13)</f>
        <v>12.462899999999999</v>
      </c>
      <c r="H650" s="64">
        <f>20.84* CHOOSE(CONTROL!$C$22, $C$13, 100%, $E$13)</f>
        <v>20.84</v>
      </c>
      <c r="I650" s="64">
        <f>20.8402 * CHOOSE(CONTROL!$C$22, $C$13, 100%, $E$13)</f>
        <v>20.840199999999999</v>
      </c>
      <c r="J650" s="64">
        <f>12.4627 * CHOOSE(CONTROL!$C$22, $C$13, 100%, $E$13)</f>
        <v>12.4627</v>
      </c>
      <c r="K650" s="64">
        <f>12.4629 * CHOOSE(CONTROL!$C$22, $C$13, 100%, $E$13)</f>
        <v>12.462899999999999</v>
      </c>
    </row>
    <row r="651" spans="1:11" ht="15">
      <c r="A651" s="13">
        <v>61454</v>
      </c>
      <c r="B651" s="63">
        <f>10.6797 * CHOOSE(CONTROL!$C$22, $C$13, 100%, $E$13)</f>
        <v>10.6797</v>
      </c>
      <c r="C651" s="63">
        <f>10.6797 * CHOOSE(CONTROL!$C$22, $C$13, 100%, $E$13)</f>
        <v>10.6797</v>
      </c>
      <c r="D651" s="63">
        <f>10.6996 * CHOOSE(CONTROL!$C$22, $C$13, 100%, $E$13)</f>
        <v>10.6996</v>
      </c>
      <c r="E651" s="64">
        <f>12.5742 * CHOOSE(CONTROL!$C$22, $C$13, 100%, $E$13)</f>
        <v>12.574199999999999</v>
      </c>
      <c r="F651" s="64">
        <f>12.5742 * CHOOSE(CONTROL!$C$22, $C$13, 100%, $E$13)</f>
        <v>12.574199999999999</v>
      </c>
      <c r="G651" s="64">
        <f>12.5744 * CHOOSE(CONTROL!$C$22, $C$13, 100%, $E$13)</f>
        <v>12.574400000000001</v>
      </c>
      <c r="H651" s="64">
        <f>20.8834* CHOOSE(CONTROL!$C$22, $C$13, 100%, $E$13)</f>
        <v>20.883400000000002</v>
      </c>
      <c r="I651" s="64">
        <f>20.8836 * CHOOSE(CONTROL!$C$22, $C$13, 100%, $E$13)</f>
        <v>20.883600000000001</v>
      </c>
      <c r="J651" s="64">
        <f>12.5742 * CHOOSE(CONTROL!$C$22, $C$13, 100%, $E$13)</f>
        <v>12.574199999999999</v>
      </c>
      <c r="K651" s="64">
        <f>12.5744 * CHOOSE(CONTROL!$C$22, $C$13, 100%, $E$13)</f>
        <v>12.574400000000001</v>
      </c>
    </row>
    <row r="652" spans="1:11" ht="15">
      <c r="A652" s="13">
        <v>61484</v>
      </c>
      <c r="B652" s="63">
        <f>10.6797 * CHOOSE(CONTROL!$C$22, $C$13, 100%, $E$13)</f>
        <v>10.6797</v>
      </c>
      <c r="C652" s="63">
        <f>10.6797 * CHOOSE(CONTROL!$C$22, $C$13, 100%, $E$13)</f>
        <v>10.6797</v>
      </c>
      <c r="D652" s="63">
        <f>10.7196 * CHOOSE(CONTROL!$C$22, $C$13, 100%, $E$13)</f>
        <v>10.7196</v>
      </c>
      <c r="E652" s="64">
        <f>12.6176 * CHOOSE(CONTROL!$C$22, $C$13, 100%, $E$13)</f>
        <v>12.617599999999999</v>
      </c>
      <c r="F652" s="64">
        <f>12.6176 * CHOOSE(CONTROL!$C$22, $C$13, 100%, $E$13)</f>
        <v>12.617599999999999</v>
      </c>
      <c r="G652" s="64">
        <f>12.62 * CHOOSE(CONTROL!$C$22, $C$13, 100%, $E$13)</f>
        <v>12.62</v>
      </c>
      <c r="H652" s="64">
        <f>20.9269* CHOOSE(CONTROL!$C$22, $C$13, 100%, $E$13)</f>
        <v>20.9269</v>
      </c>
      <c r="I652" s="64">
        <f>20.9294 * CHOOSE(CONTROL!$C$22, $C$13, 100%, $E$13)</f>
        <v>20.929400000000001</v>
      </c>
      <c r="J652" s="64">
        <f>12.6176 * CHOOSE(CONTROL!$C$22, $C$13, 100%, $E$13)</f>
        <v>12.617599999999999</v>
      </c>
      <c r="K652" s="64">
        <f>12.62 * CHOOSE(CONTROL!$C$22, $C$13, 100%, $E$13)</f>
        <v>12.62</v>
      </c>
    </row>
    <row r="653" spans="1:11" ht="15">
      <c r="A653" s="13">
        <v>61515</v>
      </c>
      <c r="B653" s="63">
        <f>10.6858 * CHOOSE(CONTROL!$C$22, $C$13, 100%, $E$13)</f>
        <v>10.6858</v>
      </c>
      <c r="C653" s="63">
        <f>10.6858 * CHOOSE(CONTROL!$C$22, $C$13, 100%, $E$13)</f>
        <v>10.6858</v>
      </c>
      <c r="D653" s="63">
        <f>10.7257 * CHOOSE(CONTROL!$C$22, $C$13, 100%, $E$13)</f>
        <v>10.7257</v>
      </c>
      <c r="E653" s="64">
        <f>12.5784 * CHOOSE(CONTROL!$C$22, $C$13, 100%, $E$13)</f>
        <v>12.5784</v>
      </c>
      <c r="F653" s="64">
        <f>12.5784 * CHOOSE(CONTROL!$C$22, $C$13, 100%, $E$13)</f>
        <v>12.5784</v>
      </c>
      <c r="G653" s="64">
        <f>12.5809 * CHOOSE(CONTROL!$C$22, $C$13, 100%, $E$13)</f>
        <v>12.5809</v>
      </c>
      <c r="H653" s="64">
        <f>20.9705* CHOOSE(CONTROL!$C$22, $C$13, 100%, $E$13)</f>
        <v>20.970500000000001</v>
      </c>
      <c r="I653" s="64">
        <f>20.973 * CHOOSE(CONTROL!$C$22, $C$13, 100%, $E$13)</f>
        <v>20.972999999999999</v>
      </c>
      <c r="J653" s="64">
        <f>12.5784 * CHOOSE(CONTROL!$C$22, $C$13, 100%, $E$13)</f>
        <v>12.5784</v>
      </c>
      <c r="K653" s="64">
        <f>12.5809 * CHOOSE(CONTROL!$C$22, $C$13, 100%, $E$13)</f>
        <v>12.5809</v>
      </c>
    </row>
    <row r="654" spans="1:11" ht="15">
      <c r="A654" s="13">
        <v>61545</v>
      </c>
      <c r="B654" s="63">
        <f>10.8558 * CHOOSE(CONTROL!$C$22, $C$13, 100%, $E$13)</f>
        <v>10.8558</v>
      </c>
      <c r="C654" s="63">
        <f>10.8558 * CHOOSE(CONTROL!$C$22, $C$13, 100%, $E$13)</f>
        <v>10.8558</v>
      </c>
      <c r="D654" s="63">
        <f>10.8957 * CHOOSE(CONTROL!$C$22, $C$13, 100%, $E$13)</f>
        <v>10.8957</v>
      </c>
      <c r="E654" s="64">
        <f>12.8205 * CHOOSE(CONTROL!$C$22, $C$13, 100%, $E$13)</f>
        <v>12.820499999999999</v>
      </c>
      <c r="F654" s="64">
        <f>12.8205 * CHOOSE(CONTROL!$C$22, $C$13, 100%, $E$13)</f>
        <v>12.820499999999999</v>
      </c>
      <c r="G654" s="64">
        <f>12.8229 * CHOOSE(CONTROL!$C$22, $C$13, 100%, $E$13)</f>
        <v>12.822900000000001</v>
      </c>
      <c r="H654" s="64">
        <f>21.0142* CHOOSE(CONTROL!$C$22, $C$13, 100%, $E$13)</f>
        <v>21.014199999999999</v>
      </c>
      <c r="I654" s="64">
        <f>21.0167 * CHOOSE(CONTROL!$C$22, $C$13, 100%, $E$13)</f>
        <v>21.0167</v>
      </c>
      <c r="J654" s="64">
        <f>12.8205 * CHOOSE(CONTROL!$C$22, $C$13, 100%, $E$13)</f>
        <v>12.820499999999999</v>
      </c>
      <c r="K654" s="64">
        <f>12.8229 * CHOOSE(CONTROL!$C$22, $C$13, 100%, $E$13)</f>
        <v>12.822900000000001</v>
      </c>
    </row>
    <row r="655" spans="1:11" ht="15">
      <c r="A655" s="13">
        <v>61576</v>
      </c>
      <c r="B655" s="63">
        <f>10.8625 * CHOOSE(CONTROL!$C$22, $C$13, 100%, $E$13)</f>
        <v>10.862500000000001</v>
      </c>
      <c r="C655" s="63">
        <f>10.8625 * CHOOSE(CONTROL!$C$22, $C$13, 100%, $E$13)</f>
        <v>10.862500000000001</v>
      </c>
      <c r="D655" s="63">
        <f>10.9024 * CHOOSE(CONTROL!$C$22, $C$13, 100%, $E$13)</f>
        <v>10.9024</v>
      </c>
      <c r="E655" s="64">
        <f>12.6949 * CHOOSE(CONTROL!$C$22, $C$13, 100%, $E$13)</f>
        <v>12.694900000000001</v>
      </c>
      <c r="F655" s="64">
        <f>12.6949 * CHOOSE(CONTROL!$C$22, $C$13, 100%, $E$13)</f>
        <v>12.694900000000001</v>
      </c>
      <c r="G655" s="64">
        <f>12.6974 * CHOOSE(CONTROL!$C$22, $C$13, 100%, $E$13)</f>
        <v>12.6974</v>
      </c>
      <c r="H655" s="64">
        <f>21.058* CHOOSE(CONTROL!$C$22, $C$13, 100%, $E$13)</f>
        <v>21.058</v>
      </c>
      <c r="I655" s="64">
        <f>21.0604 * CHOOSE(CONTROL!$C$22, $C$13, 100%, $E$13)</f>
        <v>21.060400000000001</v>
      </c>
      <c r="J655" s="64">
        <f>12.6949 * CHOOSE(CONTROL!$C$22, $C$13, 100%, $E$13)</f>
        <v>12.694900000000001</v>
      </c>
      <c r="K655" s="64">
        <f>12.6974 * CHOOSE(CONTROL!$C$22, $C$13, 100%, $E$13)</f>
        <v>12.6974</v>
      </c>
    </row>
    <row r="656" spans="1:11" ht="15">
      <c r="A656" s="13">
        <v>61607</v>
      </c>
      <c r="B656" s="63">
        <f>10.8594 * CHOOSE(CONTROL!$C$22, $C$13, 100%, $E$13)</f>
        <v>10.859400000000001</v>
      </c>
      <c r="C656" s="63">
        <f>10.8594 * CHOOSE(CONTROL!$C$22, $C$13, 100%, $E$13)</f>
        <v>10.859400000000001</v>
      </c>
      <c r="D656" s="63">
        <f>10.8994 * CHOOSE(CONTROL!$C$22, $C$13, 100%, $E$13)</f>
        <v>10.8994</v>
      </c>
      <c r="E656" s="64">
        <f>12.6784 * CHOOSE(CONTROL!$C$22, $C$13, 100%, $E$13)</f>
        <v>12.6784</v>
      </c>
      <c r="F656" s="64">
        <f>12.6784 * CHOOSE(CONTROL!$C$22, $C$13, 100%, $E$13)</f>
        <v>12.6784</v>
      </c>
      <c r="G656" s="64">
        <f>12.6808 * CHOOSE(CONTROL!$C$22, $C$13, 100%, $E$13)</f>
        <v>12.6808</v>
      </c>
      <c r="H656" s="64">
        <f>21.1019* CHOOSE(CONTROL!$C$22, $C$13, 100%, $E$13)</f>
        <v>21.101900000000001</v>
      </c>
      <c r="I656" s="64">
        <f>21.1043 * CHOOSE(CONTROL!$C$22, $C$13, 100%, $E$13)</f>
        <v>21.104299999999999</v>
      </c>
      <c r="J656" s="64">
        <f>12.6784 * CHOOSE(CONTROL!$C$22, $C$13, 100%, $E$13)</f>
        <v>12.6784</v>
      </c>
      <c r="K656" s="64">
        <f>12.6808 * CHOOSE(CONTROL!$C$22, $C$13, 100%, $E$13)</f>
        <v>12.6808</v>
      </c>
    </row>
    <row r="657" spans="1:11" ht="15">
      <c r="A657" s="13">
        <v>61637</v>
      </c>
      <c r="B657" s="63">
        <f>10.8772 * CHOOSE(CONTROL!$C$22, $C$13, 100%, $E$13)</f>
        <v>10.8772</v>
      </c>
      <c r="C657" s="63">
        <f>10.8772 * CHOOSE(CONTROL!$C$22, $C$13, 100%, $E$13)</f>
        <v>10.8772</v>
      </c>
      <c r="D657" s="63">
        <f>10.8972 * CHOOSE(CONTROL!$C$22, $C$13, 100%, $E$13)</f>
        <v>10.8972</v>
      </c>
      <c r="E657" s="64">
        <f>12.7228 * CHOOSE(CONTROL!$C$22, $C$13, 100%, $E$13)</f>
        <v>12.722799999999999</v>
      </c>
      <c r="F657" s="64">
        <f>12.7228 * CHOOSE(CONTROL!$C$22, $C$13, 100%, $E$13)</f>
        <v>12.722799999999999</v>
      </c>
      <c r="G657" s="64">
        <f>12.723 * CHOOSE(CONTROL!$C$22, $C$13, 100%, $E$13)</f>
        <v>12.723000000000001</v>
      </c>
      <c r="H657" s="64">
        <f>21.1458* CHOOSE(CONTROL!$C$22, $C$13, 100%, $E$13)</f>
        <v>21.145800000000001</v>
      </c>
      <c r="I657" s="64">
        <f>21.146 * CHOOSE(CONTROL!$C$22, $C$13, 100%, $E$13)</f>
        <v>21.146000000000001</v>
      </c>
      <c r="J657" s="64">
        <f>12.7228 * CHOOSE(CONTROL!$C$22, $C$13, 100%, $E$13)</f>
        <v>12.722799999999999</v>
      </c>
      <c r="K657" s="64">
        <f>12.723 * CHOOSE(CONTROL!$C$22, $C$13, 100%, $E$13)</f>
        <v>12.723000000000001</v>
      </c>
    </row>
    <row r="658" spans="1:11" ht="15">
      <c r="A658" s="13">
        <v>61668</v>
      </c>
      <c r="B658" s="63">
        <f>10.8803 * CHOOSE(CONTROL!$C$22, $C$13, 100%, $E$13)</f>
        <v>10.8803</v>
      </c>
      <c r="C658" s="63">
        <f>10.8803 * CHOOSE(CONTROL!$C$22, $C$13, 100%, $E$13)</f>
        <v>10.8803</v>
      </c>
      <c r="D658" s="63">
        <f>10.9002 * CHOOSE(CONTROL!$C$22, $C$13, 100%, $E$13)</f>
        <v>10.9002</v>
      </c>
      <c r="E658" s="64">
        <f>12.7538 * CHOOSE(CONTROL!$C$22, $C$13, 100%, $E$13)</f>
        <v>12.7538</v>
      </c>
      <c r="F658" s="64">
        <f>12.7538 * CHOOSE(CONTROL!$C$22, $C$13, 100%, $E$13)</f>
        <v>12.7538</v>
      </c>
      <c r="G658" s="64">
        <f>12.754 * CHOOSE(CONTROL!$C$22, $C$13, 100%, $E$13)</f>
        <v>12.754</v>
      </c>
      <c r="H658" s="64">
        <f>21.1899* CHOOSE(CONTROL!$C$22, $C$13, 100%, $E$13)</f>
        <v>21.189900000000002</v>
      </c>
      <c r="I658" s="64">
        <f>21.1901 * CHOOSE(CONTROL!$C$22, $C$13, 100%, $E$13)</f>
        <v>21.190100000000001</v>
      </c>
      <c r="J658" s="64">
        <f>12.7538 * CHOOSE(CONTROL!$C$22, $C$13, 100%, $E$13)</f>
        <v>12.7538</v>
      </c>
      <c r="K658" s="64">
        <f>12.754 * CHOOSE(CONTROL!$C$22, $C$13, 100%, $E$13)</f>
        <v>12.754</v>
      </c>
    </row>
    <row r="659" spans="1:11" ht="15">
      <c r="A659" s="13">
        <v>61698</v>
      </c>
      <c r="B659" s="63">
        <f>10.8803 * CHOOSE(CONTROL!$C$22, $C$13, 100%, $E$13)</f>
        <v>10.8803</v>
      </c>
      <c r="C659" s="63">
        <f>10.8803 * CHOOSE(CONTROL!$C$22, $C$13, 100%, $E$13)</f>
        <v>10.8803</v>
      </c>
      <c r="D659" s="63">
        <f>10.9002 * CHOOSE(CONTROL!$C$22, $C$13, 100%, $E$13)</f>
        <v>10.9002</v>
      </c>
      <c r="E659" s="64">
        <f>12.6815 * CHOOSE(CONTROL!$C$22, $C$13, 100%, $E$13)</f>
        <v>12.6815</v>
      </c>
      <c r="F659" s="64">
        <f>12.6815 * CHOOSE(CONTROL!$C$22, $C$13, 100%, $E$13)</f>
        <v>12.6815</v>
      </c>
      <c r="G659" s="64">
        <f>12.6817 * CHOOSE(CONTROL!$C$22, $C$13, 100%, $E$13)</f>
        <v>12.681699999999999</v>
      </c>
      <c r="H659" s="64">
        <f>21.234* CHOOSE(CONTROL!$C$22, $C$13, 100%, $E$13)</f>
        <v>21.234000000000002</v>
      </c>
      <c r="I659" s="64">
        <f>21.2342 * CHOOSE(CONTROL!$C$22, $C$13, 100%, $E$13)</f>
        <v>21.234200000000001</v>
      </c>
      <c r="J659" s="64">
        <f>12.6815 * CHOOSE(CONTROL!$C$22, $C$13, 100%, $E$13)</f>
        <v>12.6815</v>
      </c>
      <c r="K659" s="64">
        <f>12.6817 * CHOOSE(CONTROL!$C$22, $C$13, 100%, $E$13)</f>
        <v>12.681699999999999</v>
      </c>
    </row>
    <row r="660" spans="1:11" ht="15">
      <c r="A660" s="13">
        <v>61729</v>
      </c>
      <c r="B660" s="63">
        <f>10.9277 * CHOOSE(CONTROL!$C$22, $C$13, 100%, $E$13)</f>
        <v>10.9277</v>
      </c>
      <c r="C660" s="63">
        <f>10.9277 * CHOOSE(CONTROL!$C$22, $C$13, 100%, $E$13)</f>
        <v>10.9277</v>
      </c>
      <c r="D660" s="63">
        <f>10.9476 * CHOOSE(CONTROL!$C$22, $C$13, 100%, $E$13)</f>
        <v>10.9476</v>
      </c>
      <c r="E660" s="64">
        <f>12.7883 * CHOOSE(CONTROL!$C$22, $C$13, 100%, $E$13)</f>
        <v>12.7883</v>
      </c>
      <c r="F660" s="64">
        <f>12.7883 * CHOOSE(CONTROL!$C$22, $C$13, 100%, $E$13)</f>
        <v>12.7883</v>
      </c>
      <c r="G660" s="64">
        <f>12.7885 * CHOOSE(CONTROL!$C$22, $C$13, 100%, $E$13)</f>
        <v>12.788500000000001</v>
      </c>
      <c r="H660" s="64">
        <f>21.1993* CHOOSE(CONTROL!$C$22, $C$13, 100%, $E$13)</f>
        <v>21.199300000000001</v>
      </c>
      <c r="I660" s="64">
        <f>21.1995 * CHOOSE(CONTROL!$C$22, $C$13, 100%, $E$13)</f>
        <v>21.1995</v>
      </c>
      <c r="J660" s="64">
        <f>12.7883 * CHOOSE(CONTROL!$C$22, $C$13, 100%, $E$13)</f>
        <v>12.7883</v>
      </c>
      <c r="K660" s="64">
        <f>12.7885 * CHOOSE(CONTROL!$C$22, $C$13, 100%, $E$13)</f>
        <v>12.788500000000001</v>
      </c>
    </row>
    <row r="661" spans="1:11" ht="15">
      <c r="A661" s="13">
        <v>61760</v>
      </c>
      <c r="B661" s="63">
        <f>10.9246 * CHOOSE(CONTROL!$C$22, $C$13, 100%, $E$13)</f>
        <v>10.9246</v>
      </c>
      <c r="C661" s="63">
        <f>10.9246 * CHOOSE(CONTROL!$C$22, $C$13, 100%, $E$13)</f>
        <v>10.9246</v>
      </c>
      <c r="D661" s="63">
        <f>10.9446 * CHOOSE(CONTROL!$C$22, $C$13, 100%, $E$13)</f>
        <v>10.944599999999999</v>
      </c>
      <c r="E661" s="64">
        <f>12.6463 * CHOOSE(CONTROL!$C$22, $C$13, 100%, $E$13)</f>
        <v>12.6463</v>
      </c>
      <c r="F661" s="64">
        <f>12.6463 * CHOOSE(CONTROL!$C$22, $C$13, 100%, $E$13)</f>
        <v>12.6463</v>
      </c>
      <c r="G661" s="64">
        <f>12.6465 * CHOOSE(CONTROL!$C$22, $C$13, 100%, $E$13)</f>
        <v>12.6465</v>
      </c>
      <c r="H661" s="64">
        <f>21.2435* CHOOSE(CONTROL!$C$22, $C$13, 100%, $E$13)</f>
        <v>21.243500000000001</v>
      </c>
      <c r="I661" s="64">
        <f>21.2437 * CHOOSE(CONTROL!$C$22, $C$13, 100%, $E$13)</f>
        <v>21.2437</v>
      </c>
      <c r="J661" s="64">
        <f>12.6463 * CHOOSE(CONTROL!$C$22, $C$13, 100%, $E$13)</f>
        <v>12.6463</v>
      </c>
      <c r="K661" s="64">
        <f>12.6465 * CHOOSE(CONTROL!$C$22, $C$13, 100%, $E$13)</f>
        <v>12.6465</v>
      </c>
    </row>
    <row r="662" spans="1:11" ht="15">
      <c r="A662" s="13">
        <v>61788</v>
      </c>
      <c r="B662" s="63">
        <f>10.9216 * CHOOSE(CONTROL!$C$22, $C$13, 100%, $E$13)</f>
        <v>10.9216</v>
      </c>
      <c r="C662" s="63">
        <f>10.9216 * CHOOSE(CONTROL!$C$22, $C$13, 100%, $E$13)</f>
        <v>10.9216</v>
      </c>
      <c r="D662" s="63">
        <f>10.9416 * CHOOSE(CONTROL!$C$22, $C$13, 100%, $E$13)</f>
        <v>10.941599999999999</v>
      </c>
      <c r="E662" s="64">
        <f>12.7545 * CHOOSE(CONTROL!$C$22, $C$13, 100%, $E$13)</f>
        <v>12.7545</v>
      </c>
      <c r="F662" s="64">
        <f>12.7545 * CHOOSE(CONTROL!$C$22, $C$13, 100%, $E$13)</f>
        <v>12.7545</v>
      </c>
      <c r="G662" s="64">
        <f>12.7546 * CHOOSE(CONTROL!$C$22, $C$13, 100%, $E$13)</f>
        <v>12.7546</v>
      </c>
      <c r="H662" s="64">
        <f>21.2878* CHOOSE(CONTROL!$C$22, $C$13, 100%, $E$13)</f>
        <v>21.287800000000001</v>
      </c>
      <c r="I662" s="64">
        <f>21.2879 * CHOOSE(CONTROL!$C$22, $C$13, 100%, $E$13)</f>
        <v>21.2879</v>
      </c>
      <c r="J662" s="64">
        <f>12.7545 * CHOOSE(CONTROL!$C$22, $C$13, 100%, $E$13)</f>
        <v>12.7545</v>
      </c>
      <c r="K662" s="64">
        <f>12.7546 * CHOOSE(CONTROL!$C$22, $C$13, 100%, $E$13)</f>
        <v>12.7546</v>
      </c>
    </row>
    <row r="663" spans="1:11" ht="15">
      <c r="A663" s="13">
        <v>61819</v>
      </c>
      <c r="B663" s="63">
        <f>10.9252 * CHOOSE(CONTROL!$C$22, $C$13, 100%, $E$13)</f>
        <v>10.9252</v>
      </c>
      <c r="C663" s="63">
        <f>10.9252 * CHOOSE(CONTROL!$C$22, $C$13, 100%, $E$13)</f>
        <v>10.9252</v>
      </c>
      <c r="D663" s="63">
        <f>10.9452 * CHOOSE(CONTROL!$C$22, $C$13, 100%, $E$13)</f>
        <v>10.9452</v>
      </c>
      <c r="E663" s="64">
        <f>12.8687 * CHOOSE(CONTROL!$C$22, $C$13, 100%, $E$13)</f>
        <v>12.8687</v>
      </c>
      <c r="F663" s="64">
        <f>12.8687 * CHOOSE(CONTROL!$C$22, $C$13, 100%, $E$13)</f>
        <v>12.8687</v>
      </c>
      <c r="G663" s="64">
        <f>12.8688 * CHOOSE(CONTROL!$C$22, $C$13, 100%, $E$13)</f>
        <v>12.8688</v>
      </c>
      <c r="H663" s="64">
        <f>21.3321* CHOOSE(CONTROL!$C$22, $C$13, 100%, $E$13)</f>
        <v>21.332100000000001</v>
      </c>
      <c r="I663" s="64">
        <f>21.3323 * CHOOSE(CONTROL!$C$22, $C$13, 100%, $E$13)</f>
        <v>21.3323</v>
      </c>
      <c r="J663" s="64">
        <f>12.8687 * CHOOSE(CONTROL!$C$22, $C$13, 100%, $E$13)</f>
        <v>12.8687</v>
      </c>
      <c r="K663" s="64">
        <f>12.8688 * CHOOSE(CONTROL!$C$22, $C$13, 100%, $E$13)</f>
        <v>12.8688</v>
      </c>
    </row>
    <row r="664" spans="1:11" ht="15">
      <c r="A664" s="13">
        <v>61849</v>
      </c>
      <c r="B664" s="63">
        <f>10.9252 * CHOOSE(CONTROL!$C$22, $C$13, 100%, $E$13)</f>
        <v>10.9252</v>
      </c>
      <c r="C664" s="63">
        <f>10.9252 * CHOOSE(CONTROL!$C$22, $C$13, 100%, $E$13)</f>
        <v>10.9252</v>
      </c>
      <c r="D664" s="63">
        <f>10.9651 * CHOOSE(CONTROL!$C$22, $C$13, 100%, $E$13)</f>
        <v>10.9651</v>
      </c>
      <c r="E664" s="64">
        <f>12.9131 * CHOOSE(CONTROL!$C$22, $C$13, 100%, $E$13)</f>
        <v>12.9131</v>
      </c>
      <c r="F664" s="64">
        <f>12.9131 * CHOOSE(CONTROL!$C$22, $C$13, 100%, $E$13)</f>
        <v>12.9131</v>
      </c>
      <c r="G664" s="64">
        <f>12.9155 * CHOOSE(CONTROL!$C$22, $C$13, 100%, $E$13)</f>
        <v>12.9155</v>
      </c>
      <c r="H664" s="64">
        <f>21.3765* CHOOSE(CONTROL!$C$22, $C$13, 100%, $E$13)</f>
        <v>21.3765</v>
      </c>
      <c r="I664" s="64">
        <f>21.379 * CHOOSE(CONTROL!$C$22, $C$13, 100%, $E$13)</f>
        <v>21.379000000000001</v>
      </c>
      <c r="J664" s="64">
        <f>12.9131 * CHOOSE(CONTROL!$C$22, $C$13, 100%, $E$13)</f>
        <v>12.9131</v>
      </c>
      <c r="K664" s="64">
        <f>12.9155 * CHOOSE(CONTROL!$C$22, $C$13, 100%, $E$13)</f>
        <v>12.9155</v>
      </c>
    </row>
    <row r="665" spans="1:11" ht="15">
      <c r="A665" s="13">
        <v>61880</v>
      </c>
      <c r="B665" s="63">
        <f>10.9313 * CHOOSE(CONTROL!$C$22, $C$13, 100%, $E$13)</f>
        <v>10.9313</v>
      </c>
      <c r="C665" s="63">
        <f>10.9313 * CHOOSE(CONTROL!$C$22, $C$13, 100%, $E$13)</f>
        <v>10.9313</v>
      </c>
      <c r="D665" s="63">
        <f>10.9712 * CHOOSE(CONTROL!$C$22, $C$13, 100%, $E$13)</f>
        <v>10.9712</v>
      </c>
      <c r="E665" s="64">
        <f>12.8729 * CHOOSE(CONTROL!$C$22, $C$13, 100%, $E$13)</f>
        <v>12.8729</v>
      </c>
      <c r="F665" s="64">
        <f>12.8729 * CHOOSE(CONTROL!$C$22, $C$13, 100%, $E$13)</f>
        <v>12.8729</v>
      </c>
      <c r="G665" s="64">
        <f>12.8753 * CHOOSE(CONTROL!$C$22, $C$13, 100%, $E$13)</f>
        <v>12.875299999999999</v>
      </c>
      <c r="H665" s="64">
        <f>21.4211* CHOOSE(CONTROL!$C$22, $C$13, 100%, $E$13)</f>
        <v>21.421099999999999</v>
      </c>
      <c r="I665" s="64">
        <f>21.4235 * CHOOSE(CONTROL!$C$22, $C$13, 100%, $E$13)</f>
        <v>21.423500000000001</v>
      </c>
      <c r="J665" s="64">
        <f>12.8729 * CHOOSE(CONTROL!$C$22, $C$13, 100%, $E$13)</f>
        <v>12.8729</v>
      </c>
      <c r="K665" s="64">
        <f>12.8753 * CHOOSE(CONTROL!$C$22, $C$13, 100%, $E$13)</f>
        <v>12.875299999999999</v>
      </c>
    </row>
    <row r="666" spans="1:11" ht="15">
      <c r="A666" s="13">
        <v>61910</v>
      </c>
      <c r="B666" s="63">
        <f>11.105 * CHOOSE(CONTROL!$C$22, $C$13, 100%, $E$13)</f>
        <v>11.105</v>
      </c>
      <c r="C666" s="63">
        <f>11.105 * CHOOSE(CONTROL!$C$22, $C$13, 100%, $E$13)</f>
        <v>11.105</v>
      </c>
      <c r="D666" s="63">
        <f>11.1449 * CHOOSE(CONTROL!$C$22, $C$13, 100%, $E$13)</f>
        <v>11.1449</v>
      </c>
      <c r="E666" s="64">
        <f>13.1203 * CHOOSE(CONTROL!$C$22, $C$13, 100%, $E$13)</f>
        <v>13.1203</v>
      </c>
      <c r="F666" s="64">
        <f>13.1203 * CHOOSE(CONTROL!$C$22, $C$13, 100%, $E$13)</f>
        <v>13.1203</v>
      </c>
      <c r="G666" s="64">
        <f>13.1228 * CHOOSE(CONTROL!$C$22, $C$13, 100%, $E$13)</f>
        <v>13.1228</v>
      </c>
      <c r="H666" s="64">
        <f>21.4657* CHOOSE(CONTROL!$C$22, $C$13, 100%, $E$13)</f>
        <v>21.465699999999998</v>
      </c>
      <c r="I666" s="64">
        <f>21.4681 * CHOOSE(CONTROL!$C$22, $C$13, 100%, $E$13)</f>
        <v>21.4681</v>
      </c>
      <c r="J666" s="64">
        <f>13.1203 * CHOOSE(CONTROL!$C$22, $C$13, 100%, $E$13)</f>
        <v>13.1203</v>
      </c>
      <c r="K666" s="64">
        <f>13.1228 * CHOOSE(CONTROL!$C$22, $C$13, 100%, $E$13)</f>
        <v>13.1228</v>
      </c>
    </row>
    <row r="667" spans="1:11" ht="15">
      <c r="A667" s="13">
        <v>61941</v>
      </c>
      <c r="B667" s="63">
        <f>11.1117 * CHOOSE(CONTROL!$C$22, $C$13, 100%, $E$13)</f>
        <v>11.111700000000001</v>
      </c>
      <c r="C667" s="63">
        <f>11.1117 * CHOOSE(CONTROL!$C$22, $C$13, 100%, $E$13)</f>
        <v>11.111700000000001</v>
      </c>
      <c r="D667" s="63">
        <f>11.1516 * CHOOSE(CONTROL!$C$22, $C$13, 100%, $E$13)</f>
        <v>11.1516</v>
      </c>
      <c r="E667" s="64">
        <f>12.9918 * CHOOSE(CONTROL!$C$22, $C$13, 100%, $E$13)</f>
        <v>12.9918</v>
      </c>
      <c r="F667" s="64">
        <f>12.9918 * CHOOSE(CONTROL!$C$22, $C$13, 100%, $E$13)</f>
        <v>12.9918</v>
      </c>
      <c r="G667" s="64">
        <f>12.9942 * CHOOSE(CONTROL!$C$22, $C$13, 100%, $E$13)</f>
        <v>12.994199999999999</v>
      </c>
      <c r="H667" s="64">
        <f>21.5104* CHOOSE(CONTROL!$C$22, $C$13, 100%, $E$13)</f>
        <v>21.510400000000001</v>
      </c>
      <c r="I667" s="64">
        <f>21.5129 * CHOOSE(CONTROL!$C$22, $C$13, 100%, $E$13)</f>
        <v>21.512899999999998</v>
      </c>
      <c r="J667" s="64">
        <f>12.9918 * CHOOSE(CONTROL!$C$22, $C$13, 100%, $E$13)</f>
        <v>12.9918</v>
      </c>
      <c r="K667" s="64">
        <f>12.9942 * CHOOSE(CONTROL!$C$22, $C$13, 100%, $E$13)</f>
        <v>12.994199999999999</v>
      </c>
    </row>
    <row r="668" spans="1:11" ht="15">
      <c r="A668" s="13">
        <v>61972</v>
      </c>
      <c r="B668" s="63">
        <f>11.1087 * CHOOSE(CONTROL!$C$22, $C$13, 100%, $E$13)</f>
        <v>11.108700000000001</v>
      </c>
      <c r="C668" s="63">
        <f>11.1087 * CHOOSE(CONTROL!$C$22, $C$13, 100%, $E$13)</f>
        <v>11.108700000000001</v>
      </c>
      <c r="D668" s="63">
        <f>11.1486 * CHOOSE(CONTROL!$C$22, $C$13, 100%, $E$13)</f>
        <v>11.1486</v>
      </c>
      <c r="E668" s="64">
        <f>12.9749 * CHOOSE(CONTROL!$C$22, $C$13, 100%, $E$13)</f>
        <v>12.9749</v>
      </c>
      <c r="F668" s="64">
        <f>12.9749 * CHOOSE(CONTROL!$C$22, $C$13, 100%, $E$13)</f>
        <v>12.9749</v>
      </c>
      <c r="G668" s="64">
        <f>12.9773 * CHOOSE(CONTROL!$C$22, $C$13, 100%, $E$13)</f>
        <v>12.9773</v>
      </c>
      <c r="H668" s="64">
        <f>21.5552* CHOOSE(CONTROL!$C$22, $C$13, 100%, $E$13)</f>
        <v>21.555199999999999</v>
      </c>
      <c r="I668" s="64">
        <f>21.5577 * CHOOSE(CONTROL!$C$22, $C$13, 100%, $E$13)</f>
        <v>21.557700000000001</v>
      </c>
      <c r="J668" s="64">
        <f>12.9749 * CHOOSE(CONTROL!$C$22, $C$13, 100%, $E$13)</f>
        <v>12.9749</v>
      </c>
      <c r="K668" s="64">
        <f>12.9773 * CHOOSE(CONTROL!$C$22, $C$13, 100%, $E$13)</f>
        <v>12.9773</v>
      </c>
    </row>
    <row r="669" spans="1:11" ht="15">
      <c r="A669" s="13">
        <v>62002</v>
      </c>
      <c r="B669" s="63">
        <f>11.1272 * CHOOSE(CONTROL!$C$22, $C$13, 100%, $E$13)</f>
        <v>11.1272</v>
      </c>
      <c r="C669" s="63">
        <f>11.1272 * CHOOSE(CONTROL!$C$22, $C$13, 100%, $E$13)</f>
        <v>11.1272</v>
      </c>
      <c r="D669" s="63">
        <f>11.1472 * CHOOSE(CONTROL!$C$22, $C$13, 100%, $E$13)</f>
        <v>11.1472</v>
      </c>
      <c r="E669" s="64">
        <f>13.0206 * CHOOSE(CONTROL!$C$22, $C$13, 100%, $E$13)</f>
        <v>13.0206</v>
      </c>
      <c r="F669" s="64">
        <f>13.0206 * CHOOSE(CONTROL!$C$22, $C$13, 100%, $E$13)</f>
        <v>13.0206</v>
      </c>
      <c r="G669" s="64">
        <f>13.0208 * CHOOSE(CONTROL!$C$22, $C$13, 100%, $E$13)</f>
        <v>13.020799999999999</v>
      </c>
      <c r="H669" s="64">
        <f>21.6001* CHOOSE(CONTROL!$C$22, $C$13, 100%, $E$13)</f>
        <v>21.600100000000001</v>
      </c>
      <c r="I669" s="64">
        <f>21.6003 * CHOOSE(CONTROL!$C$22, $C$13, 100%, $E$13)</f>
        <v>21.600300000000001</v>
      </c>
      <c r="J669" s="64">
        <f>13.0206 * CHOOSE(CONTROL!$C$22, $C$13, 100%, $E$13)</f>
        <v>13.0206</v>
      </c>
      <c r="K669" s="64">
        <f>13.0208 * CHOOSE(CONTROL!$C$22, $C$13, 100%, $E$13)</f>
        <v>13.020799999999999</v>
      </c>
    </row>
    <row r="670" spans="1:11" ht="15">
      <c r="A670" s="13">
        <v>62033</v>
      </c>
      <c r="B670" s="63">
        <f>11.1303 * CHOOSE(CONTROL!$C$22, $C$13, 100%, $E$13)</f>
        <v>11.1303</v>
      </c>
      <c r="C670" s="63">
        <f>11.1303 * CHOOSE(CONTROL!$C$22, $C$13, 100%, $E$13)</f>
        <v>11.1303</v>
      </c>
      <c r="D670" s="63">
        <f>11.1503 * CHOOSE(CONTROL!$C$22, $C$13, 100%, $E$13)</f>
        <v>11.1503</v>
      </c>
      <c r="E670" s="64">
        <f>13.0524 * CHOOSE(CONTROL!$C$22, $C$13, 100%, $E$13)</f>
        <v>13.0524</v>
      </c>
      <c r="F670" s="64">
        <f>13.0524 * CHOOSE(CONTROL!$C$22, $C$13, 100%, $E$13)</f>
        <v>13.0524</v>
      </c>
      <c r="G670" s="64">
        <f>13.0525 * CHOOSE(CONTROL!$C$22, $C$13, 100%, $E$13)</f>
        <v>13.0525</v>
      </c>
      <c r="H670" s="64">
        <f>21.6451* CHOOSE(CONTROL!$C$22, $C$13, 100%, $E$13)</f>
        <v>21.645099999999999</v>
      </c>
      <c r="I670" s="64">
        <f>21.6453 * CHOOSE(CONTROL!$C$22, $C$13, 100%, $E$13)</f>
        <v>21.645299999999999</v>
      </c>
      <c r="J670" s="64">
        <f>13.0524 * CHOOSE(CONTROL!$C$22, $C$13, 100%, $E$13)</f>
        <v>13.0524</v>
      </c>
      <c r="K670" s="64">
        <f>13.0525 * CHOOSE(CONTROL!$C$22, $C$13, 100%, $E$13)</f>
        <v>13.0525</v>
      </c>
    </row>
    <row r="671" spans="1:11" ht="15">
      <c r="A671" s="13">
        <v>62063</v>
      </c>
      <c r="B671" s="63">
        <f>11.1303 * CHOOSE(CONTROL!$C$22, $C$13, 100%, $E$13)</f>
        <v>11.1303</v>
      </c>
      <c r="C671" s="63">
        <f>11.1303 * CHOOSE(CONTROL!$C$22, $C$13, 100%, $E$13)</f>
        <v>11.1303</v>
      </c>
      <c r="D671" s="63">
        <f>11.1503 * CHOOSE(CONTROL!$C$22, $C$13, 100%, $E$13)</f>
        <v>11.1503</v>
      </c>
      <c r="E671" s="64">
        <f>12.9784 * CHOOSE(CONTROL!$C$22, $C$13, 100%, $E$13)</f>
        <v>12.978400000000001</v>
      </c>
      <c r="F671" s="64">
        <f>12.9784 * CHOOSE(CONTROL!$C$22, $C$13, 100%, $E$13)</f>
        <v>12.978400000000001</v>
      </c>
      <c r="G671" s="64">
        <f>12.9785 * CHOOSE(CONTROL!$C$22, $C$13, 100%, $E$13)</f>
        <v>12.9785</v>
      </c>
      <c r="H671" s="64">
        <f>21.6902* CHOOSE(CONTROL!$C$22, $C$13, 100%, $E$13)</f>
        <v>21.690200000000001</v>
      </c>
      <c r="I671" s="64">
        <f>21.6904 * CHOOSE(CONTROL!$C$22, $C$13, 100%, $E$13)</f>
        <v>21.6904</v>
      </c>
      <c r="J671" s="64">
        <f>12.9784 * CHOOSE(CONTROL!$C$22, $C$13, 100%, $E$13)</f>
        <v>12.978400000000001</v>
      </c>
      <c r="K671" s="64">
        <f>12.9785 * CHOOSE(CONTROL!$C$22, $C$13, 100%, $E$13)</f>
        <v>12.9785</v>
      </c>
    </row>
    <row r="672" spans="1:11" ht="15">
      <c r="A672" s="13">
        <v>62094</v>
      </c>
      <c r="B672" s="63">
        <f>11.173 * CHOOSE(CONTROL!$C$22, $C$13, 100%, $E$13)</f>
        <v>11.173</v>
      </c>
      <c r="C672" s="63">
        <f>11.173 * CHOOSE(CONTROL!$C$22, $C$13, 100%, $E$13)</f>
        <v>11.173</v>
      </c>
      <c r="D672" s="63">
        <f>11.193 * CHOOSE(CONTROL!$C$22, $C$13, 100%, $E$13)</f>
        <v>11.193</v>
      </c>
      <c r="E672" s="64">
        <f>13.0807 * CHOOSE(CONTROL!$C$22, $C$13, 100%, $E$13)</f>
        <v>13.0807</v>
      </c>
      <c r="F672" s="64">
        <f>13.0807 * CHOOSE(CONTROL!$C$22, $C$13, 100%, $E$13)</f>
        <v>13.0807</v>
      </c>
      <c r="G672" s="64">
        <f>13.0809 * CHOOSE(CONTROL!$C$22, $C$13, 100%, $E$13)</f>
        <v>13.0809</v>
      </c>
      <c r="H672" s="64">
        <f>21.6452* CHOOSE(CONTROL!$C$22, $C$13, 100%, $E$13)</f>
        <v>21.645199999999999</v>
      </c>
      <c r="I672" s="64">
        <f>21.6454 * CHOOSE(CONTROL!$C$22, $C$13, 100%, $E$13)</f>
        <v>21.645399999999999</v>
      </c>
      <c r="J672" s="64">
        <f>13.0807 * CHOOSE(CONTROL!$C$22, $C$13, 100%, $E$13)</f>
        <v>13.0807</v>
      </c>
      <c r="K672" s="64">
        <f>13.0809 * CHOOSE(CONTROL!$C$22, $C$13, 100%, $E$13)</f>
        <v>13.0809</v>
      </c>
    </row>
    <row r="673" spans="1:11" ht="15">
      <c r="A673" s="13">
        <v>62125</v>
      </c>
      <c r="B673" s="63">
        <f>11.1699 * CHOOSE(CONTROL!$C$22, $C$13, 100%, $E$13)</f>
        <v>11.1699</v>
      </c>
      <c r="C673" s="63">
        <f>11.1699 * CHOOSE(CONTROL!$C$22, $C$13, 100%, $E$13)</f>
        <v>11.1699</v>
      </c>
      <c r="D673" s="63">
        <f>11.1899 * CHOOSE(CONTROL!$C$22, $C$13, 100%, $E$13)</f>
        <v>11.1899</v>
      </c>
      <c r="E673" s="64">
        <f>12.9355 * CHOOSE(CONTROL!$C$22, $C$13, 100%, $E$13)</f>
        <v>12.935499999999999</v>
      </c>
      <c r="F673" s="64">
        <f>12.9355 * CHOOSE(CONTROL!$C$22, $C$13, 100%, $E$13)</f>
        <v>12.935499999999999</v>
      </c>
      <c r="G673" s="64">
        <f>12.9357 * CHOOSE(CONTROL!$C$22, $C$13, 100%, $E$13)</f>
        <v>12.935700000000001</v>
      </c>
      <c r="H673" s="64">
        <f>21.6903* CHOOSE(CONTROL!$C$22, $C$13, 100%, $E$13)</f>
        <v>21.690300000000001</v>
      </c>
      <c r="I673" s="64">
        <f>21.6905 * CHOOSE(CONTROL!$C$22, $C$13, 100%, $E$13)</f>
        <v>21.6905</v>
      </c>
      <c r="J673" s="64">
        <f>12.9355 * CHOOSE(CONTROL!$C$22, $C$13, 100%, $E$13)</f>
        <v>12.935499999999999</v>
      </c>
      <c r="K673" s="64">
        <f>12.9357 * CHOOSE(CONTROL!$C$22, $C$13, 100%, $E$13)</f>
        <v>12.935700000000001</v>
      </c>
    </row>
    <row r="674" spans="1:11" ht="15">
      <c r="A674" s="13">
        <v>62153</v>
      </c>
      <c r="B674" s="63">
        <f>11.1669 * CHOOSE(CONTROL!$C$22, $C$13, 100%, $E$13)</f>
        <v>11.1669</v>
      </c>
      <c r="C674" s="63">
        <f>11.1669 * CHOOSE(CONTROL!$C$22, $C$13, 100%, $E$13)</f>
        <v>11.1669</v>
      </c>
      <c r="D674" s="63">
        <f>11.1869 * CHOOSE(CONTROL!$C$22, $C$13, 100%, $E$13)</f>
        <v>11.1869</v>
      </c>
      <c r="E674" s="64">
        <f>13.0462 * CHOOSE(CONTROL!$C$22, $C$13, 100%, $E$13)</f>
        <v>13.046200000000001</v>
      </c>
      <c r="F674" s="64">
        <f>13.0462 * CHOOSE(CONTROL!$C$22, $C$13, 100%, $E$13)</f>
        <v>13.046200000000001</v>
      </c>
      <c r="G674" s="64">
        <f>13.0464 * CHOOSE(CONTROL!$C$22, $C$13, 100%, $E$13)</f>
        <v>13.0464</v>
      </c>
      <c r="H674" s="64">
        <f>21.7355* CHOOSE(CONTROL!$C$22, $C$13, 100%, $E$13)</f>
        <v>21.735499999999998</v>
      </c>
      <c r="I674" s="64">
        <f>21.7357 * CHOOSE(CONTROL!$C$22, $C$13, 100%, $E$13)</f>
        <v>21.735700000000001</v>
      </c>
      <c r="J674" s="64">
        <f>13.0462 * CHOOSE(CONTROL!$C$22, $C$13, 100%, $E$13)</f>
        <v>13.046200000000001</v>
      </c>
      <c r="K674" s="64">
        <f>13.0464 * CHOOSE(CONTROL!$C$22, $C$13, 100%, $E$13)</f>
        <v>13.0464</v>
      </c>
    </row>
    <row r="675" spans="1:11" ht="15">
      <c r="A675" s="13">
        <v>62184</v>
      </c>
      <c r="B675" s="63">
        <f>11.1707 * CHOOSE(CONTROL!$C$22, $C$13, 100%, $E$13)</f>
        <v>11.1707</v>
      </c>
      <c r="C675" s="63">
        <f>11.1707 * CHOOSE(CONTROL!$C$22, $C$13, 100%, $E$13)</f>
        <v>11.1707</v>
      </c>
      <c r="D675" s="63">
        <f>11.1907 * CHOOSE(CONTROL!$C$22, $C$13, 100%, $E$13)</f>
        <v>11.1907</v>
      </c>
      <c r="E675" s="64">
        <f>13.1631 * CHOOSE(CONTROL!$C$22, $C$13, 100%, $E$13)</f>
        <v>13.1631</v>
      </c>
      <c r="F675" s="64">
        <f>13.1631 * CHOOSE(CONTROL!$C$22, $C$13, 100%, $E$13)</f>
        <v>13.1631</v>
      </c>
      <c r="G675" s="64">
        <f>13.1633 * CHOOSE(CONTROL!$C$22, $C$13, 100%, $E$13)</f>
        <v>13.1633</v>
      </c>
      <c r="H675" s="64">
        <f>21.7808* CHOOSE(CONTROL!$C$22, $C$13, 100%, $E$13)</f>
        <v>21.780799999999999</v>
      </c>
      <c r="I675" s="64">
        <f>21.781 * CHOOSE(CONTROL!$C$22, $C$13, 100%, $E$13)</f>
        <v>21.780999999999999</v>
      </c>
      <c r="J675" s="64">
        <f>13.1631 * CHOOSE(CONTROL!$C$22, $C$13, 100%, $E$13)</f>
        <v>13.1631</v>
      </c>
      <c r="K675" s="64">
        <f>13.1633 * CHOOSE(CONTROL!$C$22, $C$13, 100%, $E$13)</f>
        <v>13.1633</v>
      </c>
    </row>
    <row r="676" spans="1:11" ht="15">
      <c r="A676" s="13">
        <v>62214</v>
      </c>
      <c r="B676" s="63">
        <f>11.1707 * CHOOSE(CONTROL!$C$22, $C$13, 100%, $E$13)</f>
        <v>11.1707</v>
      </c>
      <c r="C676" s="63">
        <f>11.1707 * CHOOSE(CONTROL!$C$22, $C$13, 100%, $E$13)</f>
        <v>11.1707</v>
      </c>
      <c r="D676" s="63">
        <f>11.2107 * CHOOSE(CONTROL!$C$22, $C$13, 100%, $E$13)</f>
        <v>11.210699999999999</v>
      </c>
      <c r="E676" s="64">
        <f>13.2085 * CHOOSE(CONTROL!$C$22, $C$13, 100%, $E$13)</f>
        <v>13.208500000000001</v>
      </c>
      <c r="F676" s="64">
        <f>13.2085 * CHOOSE(CONTROL!$C$22, $C$13, 100%, $E$13)</f>
        <v>13.208500000000001</v>
      </c>
      <c r="G676" s="64">
        <f>13.211 * CHOOSE(CONTROL!$C$22, $C$13, 100%, $E$13)</f>
        <v>13.211</v>
      </c>
      <c r="H676" s="64">
        <f>21.8262* CHOOSE(CONTROL!$C$22, $C$13, 100%, $E$13)</f>
        <v>21.8262</v>
      </c>
      <c r="I676" s="64">
        <f>21.8286 * CHOOSE(CONTROL!$C$22, $C$13, 100%, $E$13)</f>
        <v>21.828600000000002</v>
      </c>
      <c r="J676" s="64">
        <f>13.2085 * CHOOSE(CONTROL!$C$22, $C$13, 100%, $E$13)</f>
        <v>13.208500000000001</v>
      </c>
      <c r="K676" s="64">
        <f>13.211 * CHOOSE(CONTROL!$C$22, $C$13, 100%, $E$13)</f>
        <v>13.211</v>
      </c>
    </row>
    <row r="677" spans="1:11" ht="15">
      <c r="A677" s="13">
        <v>62245</v>
      </c>
      <c r="B677" s="63">
        <f>11.1768 * CHOOSE(CONTROL!$C$22, $C$13, 100%, $E$13)</f>
        <v>11.1768</v>
      </c>
      <c r="C677" s="63">
        <f>11.1768 * CHOOSE(CONTROL!$C$22, $C$13, 100%, $E$13)</f>
        <v>11.1768</v>
      </c>
      <c r="D677" s="63">
        <f>11.2167 * CHOOSE(CONTROL!$C$22, $C$13, 100%, $E$13)</f>
        <v>11.216699999999999</v>
      </c>
      <c r="E677" s="64">
        <f>13.1673 * CHOOSE(CONTROL!$C$22, $C$13, 100%, $E$13)</f>
        <v>13.167299999999999</v>
      </c>
      <c r="F677" s="64">
        <f>13.1673 * CHOOSE(CONTROL!$C$22, $C$13, 100%, $E$13)</f>
        <v>13.167299999999999</v>
      </c>
      <c r="G677" s="64">
        <f>13.1698 * CHOOSE(CONTROL!$C$22, $C$13, 100%, $E$13)</f>
        <v>13.1698</v>
      </c>
      <c r="H677" s="64">
        <f>21.8716* CHOOSE(CONTROL!$C$22, $C$13, 100%, $E$13)</f>
        <v>21.871600000000001</v>
      </c>
      <c r="I677" s="64">
        <f>21.8741 * CHOOSE(CONTROL!$C$22, $C$13, 100%, $E$13)</f>
        <v>21.874099999999999</v>
      </c>
      <c r="J677" s="64">
        <f>13.1673 * CHOOSE(CONTROL!$C$22, $C$13, 100%, $E$13)</f>
        <v>13.167299999999999</v>
      </c>
      <c r="K677" s="64">
        <f>13.1698 * CHOOSE(CONTROL!$C$22, $C$13, 100%, $E$13)</f>
        <v>13.1698</v>
      </c>
    </row>
    <row r="678" spans="1:11" ht="15">
      <c r="A678" s="13">
        <v>62275</v>
      </c>
      <c r="B678" s="63">
        <f>11.3542 * CHOOSE(CONTROL!$C$22, $C$13, 100%, $E$13)</f>
        <v>11.354200000000001</v>
      </c>
      <c r="C678" s="63">
        <f>11.3542 * CHOOSE(CONTROL!$C$22, $C$13, 100%, $E$13)</f>
        <v>11.354200000000001</v>
      </c>
      <c r="D678" s="63">
        <f>11.3942 * CHOOSE(CONTROL!$C$22, $C$13, 100%, $E$13)</f>
        <v>11.3942</v>
      </c>
      <c r="E678" s="64">
        <f>13.4202 * CHOOSE(CONTROL!$C$22, $C$13, 100%, $E$13)</f>
        <v>13.420199999999999</v>
      </c>
      <c r="F678" s="64">
        <f>13.4202 * CHOOSE(CONTROL!$C$22, $C$13, 100%, $E$13)</f>
        <v>13.420199999999999</v>
      </c>
      <c r="G678" s="64">
        <f>13.4227 * CHOOSE(CONTROL!$C$22, $C$13, 100%, $E$13)</f>
        <v>13.422700000000001</v>
      </c>
      <c r="H678" s="64">
        <f>21.9172* CHOOSE(CONTROL!$C$22, $C$13, 100%, $E$13)</f>
        <v>21.917200000000001</v>
      </c>
      <c r="I678" s="64">
        <f>21.9196 * CHOOSE(CONTROL!$C$22, $C$13, 100%, $E$13)</f>
        <v>21.919599999999999</v>
      </c>
      <c r="J678" s="64">
        <f>13.4202 * CHOOSE(CONTROL!$C$22, $C$13, 100%, $E$13)</f>
        <v>13.420199999999999</v>
      </c>
      <c r="K678" s="64">
        <f>13.4227 * CHOOSE(CONTROL!$C$22, $C$13, 100%, $E$13)</f>
        <v>13.422700000000001</v>
      </c>
    </row>
    <row r="679" spans="1:11" ht="15">
      <c r="A679" s="13">
        <v>62306</v>
      </c>
      <c r="B679" s="63">
        <f>11.3609 * CHOOSE(CONTROL!$C$22, $C$13, 100%, $E$13)</f>
        <v>11.360900000000001</v>
      </c>
      <c r="C679" s="63">
        <f>11.3609 * CHOOSE(CONTROL!$C$22, $C$13, 100%, $E$13)</f>
        <v>11.360900000000001</v>
      </c>
      <c r="D679" s="63">
        <f>11.4008 * CHOOSE(CONTROL!$C$22, $C$13, 100%, $E$13)</f>
        <v>11.4008</v>
      </c>
      <c r="E679" s="64">
        <f>13.2886 * CHOOSE(CONTROL!$C$22, $C$13, 100%, $E$13)</f>
        <v>13.288600000000001</v>
      </c>
      <c r="F679" s="64">
        <f>13.2886 * CHOOSE(CONTROL!$C$22, $C$13, 100%, $E$13)</f>
        <v>13.288600000000001</v>
      </c>
      <c r="G679" s="64">
        <f>13.291 * CHOOSE(CONTROL!$C$22, $C$13, 100%, $E$13)</f>
        <v>13.291</v>
      </c>
      <c r="H679" s="64">
        <f>21.9629* CHOOSE(CONTROL!$C$22, $C$13, 100%, $E$13)</f>
        <v>21.962900000000001</v>
      </c>
      <c r="I679" s="64">
        <f>21.9653 * CHOOSE(CONTROL!$C$22, $C$13, 100%, $E$13)</f>
        <v>21.965299999999999</v>
      </c>
      <c r="J679" s="64">
        <f>13.2886 * CHOOSE(CONTROL!$C$22, $C$13, 100%, $E$13)</f>
        <v>13.288600000000001</v>
      </c>
      <c r="K679" s="64">
        <f>13.291 * CHOOSE(CONTROL!$C$22, $C$13, 100%, $E$13)</f>
        <v>13.291</v>
      </c>
    </row>
    <row r="680" spans="1:11" ht="15">
      <c r="A680" s="13">
        <v>62337</v>
      </c>
      <c r="B680" s="63">
        <f>11.3579 * CHOOSE(CONTROL!$C$22, $C$13, 100%, $E$13)</f>
        <v>11.357900000000001</v>
      </c>
      <c r="C680" s="63">
        <f>11.3579 * CHOOSE(CONTROL!$C$22, $C$13, 100%, $E$13)</f>
        <v>11.357900000000001</v>
      </c>
      <c r="D680" s="63">
        <f>11.3978 * CHOOSE(CONTROL!$C$22, $C$13, 100%, $E$13)</f>
        <v>11.3978</v>
      </c>
      <c r="E680" s="64">
        <f>13.2713 * CHOOSE(CONTROL!$C$22, $C$13, 100%, $E$13)</f>
        <v>13.2713</v>
      </c>
      <c r="F680" s="64">
        <f>13.2713 * CHOOSE(CONTROL!$C$22, $C$13, 100%, $E$13)</f>
        <v>13.2713</v>
      </c>
      <c r="G680" s="64">
        <f>13.2738 * CHOOSE(CONTROL!$C$22, $C$13, 100%, $E$13)</f>
        <v>13.2738</v>
      </c>
      <c r="H680" s="64">
        <f>22.0086* CHOOSE(CONTROL!$C$22, $C$13, 100%, $E$13)</f>
        <v>22.008600000000001</v>
      </c>
      <c r="I680" s="64">
        <f>22.0111 * CHOOSE(CONTROL!$C$22, $C$13, 100%, $E$13)</f>
        <v>22.011099999999999</v>
      </c>
      <c r="J680" s="64">
        <f>13.2713 * CHOOSE(CONTROL!$C$22, $C$13, 100%, $E$13)</f>
        <v>13.2713</v>
      </c>
      <c r="K680" s="64">
        <f>13.2738 * CHOOSE(CONTROL!$C$22, $C$13, 100%, $E$13)</f>
        <v>13.2738</v>
      </c>
    </row>
    <row r="681" spans="1:11" ht="15">
      <c r="A681" s="13">
        <v>62367</v>
      </c>
      <c r="B681" s="63">
        <f>11.3773 * CHOOSE(CONTROL!$C$22, $C$13, 100%, $E$13)</f>
        <v>11.3773</v>
      </c>
      <c r="C681" s="63">
        <f>11.3773 * CHOOSE(CONTROL!$C$22, $C$13, 100%, $E$13)</f>
        <v>11.3773</v>
      </c>
      <c r="D681" s="63">
        <f>11.3972 * CHOOSE(CONTROL!$C$22, $C$13, 100%, $E$13)</f>
        <v>11.3972</v>
      </c>
      <c r="E681" s="64">
        <f>13.3185 * CHOOSE(CONTROL!$C$22, $C$13, 100%, $E$13)</f>
        <v>13.3185</v>
      </c>
      <c r="F681" s="64">
        <f>13.3185 * CHOOSE(CONTROL!$C$22, $C$13, 100%, $E$13)</f>
        <v>13.3185</v>
      </c>
      <c r="G681" s="64">
        <f>13.3187 * CHOOSE(CONTROL!$C$22, $C$13, 100%, $E$13)</f>
        <v>13.3187</v>
      </c>
      <c r="H681" s="64">
        <f>22.0545* CHOOSE(CONTROL!$C$22, $C$13, 100%, $E$13)</f>
        <v>22.054500000000001</v>
      </c>
      <c r="I681" s="64">
        <f>22.0546 * CHOOSE(CONTROL!$C$22, $C$13, 100%, $E$13)</f>
        <v>22.054600000000001</v>
      </c>
      <c r="J681" s="64">
        <f>13.3185 * CHOOSE(CONTROL!$C$22, $C$13, 100%, $E$13)</f>
        <v>13.3185</v>
      </c>
      <c r="K681" s="64">
        <f>13.3187 * CHOOSE(CONTROL!$C$22, $C$13, 100%, $E$13)</f>
        <v>13.3187</v>
      </c>
    </row>
    <row r="682" spans="1:11" ht="15">
      <c r="A682" s="13">
        <v>62398</v>
      </c>
      <c r="B682" s="63">
        <f>11.3803 * CHOOSE(CONTROL!$C$22, $C$13, 100%, $E$13)</f>
        <v>11.3803</v>
      </c>
      <c r="C682" s="63">
        <f>11.3803 * CHOOSE(CONTROL!$C$22, $C$13, 100%, $E$13)</f>
        <v>11.3803</v>
      </c>
      <c r="D682" s="63">
        <f>11.4003 * CHOOSE(CONTROL!$C$22, $C$13, 100%, $E$13)</f>
        <v>11.4003</v>
      </c>
      <c r="E682" s="64">
        <f>13.3509 * CHOOSE(CONTROL!$C$22, $C$13, 100%, $E$13)</f>
        <v>13.350899999999999</v>
      </c>
      <c r="F682" s="64">
        <f>13.3509 * CHOOSE(CONTROL!$C$22, $C$13, 100%, $E$13)</f>
        <v>13.350899999999999</v>
      </c>
      <c r="G682" s="64">
        <f>13.3511 * CHOOSE(CONTROL!$C$22, $C$13, 100%, $E$13)</f>
        <v>13.351100000000001</v>
      </c>
      <c r="H682" s="64">
        <f>22.1004* CHOOSE(CONTROL!$C$22, $C$13, 100%, $E$13)</f>
        <v>22.1004</v>
      </c>
      <c r="I682" s="64">
        <f>22.1006 * CHOOSE(CONTROL!$C$22, $C$13, 100%, $E$13)</f>
        <v>22.1006</v>
      </c>
      <c r="J682" s="64">
        <f>13.3509 * CHOOSE(CONTROL!$C$22, $C$13, 100%, $E$13)</f>
        <v>13.350899999999999</v>
      </c>
      <c r="K682" s="64">
        <f>13.3511 * CHOOSE(CONTROL!$C$22, $C$13, 100%, $E$13)</f>
        <v>13.351100000000001</v>
      </c>
    </row>
    <row r="683" spans="1:11" ht="15">
      <c r="A683" s="13">
        <v>62428</v>
      </c>
      <c r="B683" s="63">
        <f>11.3803 * CHOOSE(CONTROL!$C$22, $C$13, 100%, $E$13)</f>
        <v>11.3803</v>
      </c>
      <c r="C683" s="63">
        <f>11.3803 * CHOOSE(CONTROL!$C$22, $C$13, 100%, $E$13)</f>
        <v>11.3803</v>
      </c>
      <c r="D683" s="63">
        <f>11.4003 * CHOOSE(CONTROL!$C$22, $C$13, 100%, $E$13)</f>
        <v>11.4003</v>
      </c>
      <c r="E683" s="64">
        <f>13.2752 * CHOOSE(CONTROL!$C$22, $C$13, 100%, $E$13)</f>
        <v>13.2752</v>
      </c>
      <c r="F683" s="64">
        <f>13.2752 * CHOOSE(CONTROL!$C$22, $C$13, 100%, $E$13)</f>
        <v>13.2752</v>
      </c>
      <c r="G683" s="64">
        <f>13.2754 * CHOOSE(CONTROL!$C$22, $C$13, 100%, $E$13)</f>
        <v>13.275399999999999</v>
      </c>
      <c r="H683" s="64">
        <f>22.1465* CHOOSE(CONTROL!$C$22, $C$13, 100%, $E$13)</f>
        <v>22.1465</v>
      </c>
      <c r="I683" s="64">
        <f>22.1466 * CHOOSE(CONTROL!$C$22, $C$13, 100%, $E$13)</f>
        <v>22.146599999999999</v>
      </c>
      <c r="J683" s="64">
        <f>13.2752 * CHOOSE(CONTROL!$C$22, $C$13, 100%, $E$13)</f>
        <v>13.2752</v>
      </c>
      <c r="K683" s="64">
        <f>13.2754 * CHOOSE(CONTROL!$C$22, $C$13, 100%, $E$13)</f>
        <v>13.275399999999999</v>
      </c>
    </row>
    <row r="684" spans="1:11" ht="15">
      <c r="A684" s="13">
        <v>62459</v>
      </c>
      <c r="B684" s="63">
        <f>11.4183 * CHOOSE(CONTROL!$C$22, $C$13, 100%, $E$13)</f>
        <v>11.4183</v>
      </c>
      <c r="C684" s="63">
        <f>11.4183 * CHOOSE(CONTROL!$C$22, $C$13, 100%, $E$13)</f>
        <v>11.4183</v>
      </c>
      <c r="D684" s="63">
        <f>11.4383 * CHOOSE(CONTROL!$C$22, $C$13, 100%, $E$13)</f>
        <v>11.4383</v>
      </c>
      <c r="E684" s="64">
        <f>13.3731 * CHOOSE(CONTROL!$C$22, $C$13, 100%, $E$13)</f>
        <v>13.373100000000001</v>
      </c>
      <c r="F684" s="64">
        <f>13.3731 * CHOOSE(CONTROL!$C$22, $C$13, 100%, $E$13)</f>
        <v>13.373100000000001</v>
      </c>
      <c r="G684" s="64">
        <f>13.3733 * CHOOSE(CONTROL!$C$22, $C$13, 100%, $E$13)</f>
        <v>13.3733</v>
      </c>
      <c r="H684" s="64">
        <f>22.0911* CHOOSE(CONTROL!$C$22, $C$13, 100%, $E$13)</f>
        <v>22.091100000000001</v>
      </c>
      <c r="I684" s="64">
        <f>22.0913 * CHOOSE(CONTROL!$C$22, $C$13, 100%, $E$13)</f>
        <v>22.0913</v>
      </c>
      <c r="J684" s="64">
        <f>13.3731 * CHOOSE(CONTROL!$C$22, $C$13, 100%, $E$13)</f>
        <v>13.373100000000001</v>
      </c>
      <c r="K684" s="64">
        <f>13.3733 * CHOOSE(CONTROL!$C$22, $C$13, 100%, $E$13)</f>
        <v>13.3733</v>
      </c>
    </row>
    <row r="685" spans="1:11" ht="15">
      <c r="A685" s="13">
        <v>62490</v>
      </c>
      <c r="B685" s="63">
        <f>11.4153 * CHOOSE(CONTROL!$C$22, $C$13, 100%, $E$13)</f>
        <v>11.4153</v>
      </c>
      <c r="C685" s="63">
        <f>11.4153 * CHOOSE(CONTROL!$C$22, $C$13, 100%, $E$13)</f>
        <v>11.4153</v>
      </c>
      <c r="D685" s="63">
        <f>11.4352 * CHOOSE(CONTROL!$C$22, $C$13, 100%, $E$13)</f>
        <v>11.4352</v>
      </c>
      <c r="E685" s="64">
        <f>13.2247 * CHOOSE(CONTROL!$C$22, $C$13, 100%, $E$13)</f>
        <v>13.2247</v>
      </c>
      <c r="F685" s="64">
        <f>13.2247 * CHOOSE(CONTROL!$C$22, $C$13, 100%, $E$13)</f>
        <v>13.2247</v>
      </c>
      <c r="G685" s="64">
        <f>13.2249 * CHOOSE(CONTROL!$C$22, $C$13, 100%, $E$13)</f>
        <v>13.2249</v>
      </c>
      <c r="H685" s="64">
        <f>22.1371* CHOOSE(CONTROL!$C$22, $C$13, 100%, $E$13)</f>
        <v>22.1371</v>
      </c>
      <c r="I685" s="64">
        <f>22.1373 * CHOOSE(CONTROL!$C$22, $C$13, 100%, $E$13)</f>
        <v>22.1373</v>
      </c>
      <c r="J685" s="64">
        <f>13.2247 * CHOOSE(CONTROL!$C$22, $C$13, 100%, $E$13)</f>
        <v>13.2247</v>
      </c>
      <c r="K685" s="64">
        <f>13.2249 * CHOOSE(CONTROL!$C$22, $C$13, 100%, $E$13)</f>
        <v>13.2249</v>
      </c>
    </row>
    <row r="686" spans="1:11" ht="15">
      <c r="A686" s="13">
        <v>62518</v>
      </c>
      <c r="B686" s="63">
        <f>11.4122 * CHOOSE(CONTROL!$C$22, $C$13, 100%, $E$13)</f>
        <v>11.4122</v>
      </c>
      <c r="C686" s="63">
        <f>11.4122 * CHOOSE(CONTROL!$C$22, $C$13, 100%, $E$13)</f>
        <v>11.4122</v>
      </c>
      <c r="D686" s="63">
        <f>11.4322 * CHOOSE(CONTROL!$C$22, $C$13, 100%, $E$13)</f>
        <v>11.4322</v>
      </c>
      <c r="E686" s="64">
        <f>13.3379 * CHOOSE(CONTROL!$C$22, $C$13, 100%, $E$13)</f>
        <v>13.337899999999999</v>
      </c>
      <c r="F686" s="64">
        <f>13.3379 * CHOOSE(CONTROL!$C$22, $C$13, 100%, $E$13)</f>
        <v>13.337899999999999</v>
      </c>
      <c r="G686" s="64">
        <f>13.3381 * CHOOSE(CONTROL!$C$22, $C$13, 100%, $E$13)</f>
        <v>13.338100000000001</v>
      </c>
      <c r="H686" s="64">
        <f>22.1833* CHOOSE(CONTROL!$C$22, $C$13, 100%, $E$13)</f>
        <v>22.183299999999999</v>
      </c>
      <c r="I686" s="64">
        <f>22.1834 * CHOOSE(CONTROL!$C$22, $C$13, 100%, $E$13)</f>
        <v>22.183399999999999</v>
      </c>
      <c r="J686" s="64">
        <f>13.3379 * CHOOSE(CONTROL!$C$22, $C$13, 100%, $E$13)</f>
        <v>13.337899999999999</v>
      </c>
      <c r="K686" s="64">
        <f>13.3381 * CHOOSE(CONTROL!$C$22, $C$13, 100%, $E$13)</f>
        <v>13.338100000000001</v>
      </c>
    </row>
    <row r="687" spans="1:11" ht="15">
      <c r="A687" s="13">
        <v>62549</v>
      </c>
      <c r="B687" s="63">
        <f>11.4162 * CHOOSE(CONTROL!$C$22, $C$13, 100%, $E$13)</f>
        <v>11.4162</v>
      </c>
      <c r="C687" s="63">
        <f>11.4162 * CHOOSE(CONTROL!$C$22, $C$13, 100%, $E$13)</f>
        <v>11.4162</v>
      </c>
      <c r="D687" s="63">
        <f>11.4362 * CHOOSE(CONTROL!$C$22, $C$13, 100%, $E$13)</f>
        <v>11.436199999999999</v>
      </c>
      <c r="E687" s="64">
        <f>13.4575 * CHOOSE(CONTROL!$C$22, $C$13, 100%, $E$13)</f>
        <v>13.4575</v>
      </c>
      <c r="F687" s="64">
        <f>13.4575 * CHOOSE(CONTROL!$C$22, $C$13, 100%, $E$13)</f>
        <v>13.4575</v>
      </c>
      <c r="G687" s="64">
        <f>13.4577 * CHOOSE(CONTROL!$C$22, $C$13, 100%, $E$13)</f>
        <v>13.457700000000001</v>
      </c>
      <c r="H687" s="64">
        <f>22.2295* CHOOSE(CONTROL!$C$22, $C$13, 100%, $E$13)</f>
        <v>22.229500000000002</v>
      </c>
      <c r="I687" s="64">
        <f>22.2296 * CHOOSE(CONTROL!$C$22, $C$13, 100%, $E$13)</f>
        <v>22.229600000000001</v>
      </c>
      <c r="J687" s="64">
        <f>13.4575 * CHOOSE(CONTROL!$C$22, $C$13, 100%, $E$13)</f>
        <v>13.4575</v>
      </c>
      <c r="K687" s="64">
        <f>13.4577 * CHOOSE(CONTROL!$C$22, $C$13, 100%, $E$13)</f>
        <v>13.457700000000001</v>
      </c>
    </row>
    <row r="688" spans="1:11" ht="15">
      <c r="A688" s="13">
        <v>62579</v>
      </c>
      <c r="B688" s="63">
        <f>11.4162 * CHOOSE(CONTROL!$C$22, $C$13, 100%, $E$13)</f>
        <v>11.4162</v>
      </c>
      <c r="C688" s="63">
        <f>11.4162 * CHOOSE(CONTROL!$C$22, $C$13, 100%, $E$13)</f>
        <v>11.4162</v>
      </c>
      <c r="D688" s="63">
        <f>11.4562 * CHOOSE(CONTROL!$C$22, $C$13, 100%, $E$13)</f>
        <v>11.456200000000001</v>
      </c>
      <c r="E688" s="64">
        <f>13.504 * CHOOSE(CONTROL!$C$22, $C$13, 100%, $E$13)</f>
        <v>13.504</v>
      </c>
      <c r="F688" s="64">
        <f>13.504 * CHOOSE(CONTROL!$C$22, $C$13, 100%, $E$13)</f>
        <v>13.504</v>
      </c>
      <c r="G688" s="64">
        <f>13.5064 * CHOOSE(CONTROL!$C$22, $C$13, 100%, $E$13)</f>
        <v>13.506399999999999</v>
      </c>
      <c r="H688" s="64">
        <f>22.2758* CHOOSE(CONTROL!$C$22, $C$13, 100%, $E$13)</f>
        <v>22.2758</v>
      </c>
      <c r="I688" s="64">
        <f>22.2782 * CHOOSE(CONTROL!$C$22, $C$13, 100%, $E$13)</f>
        <v>22.278199999999998</v>
      </c>
      <c r="J688" s="64">
        <f>13.504 * CHOOSE(CONTROL!$C$22, $C$13, 100%, $E$13)</f>
        <v>13.504</v>
      </c>
      <c r="K688" s="64">
        <f>13.5064 * CHOOSE(CONTROL!$C$22, $C$13, 100%, $E$13)</f>
        <v>13.506399999999999</v>
      </c>
    </row>
    <row r="689" spans="1:11" ht="15">
      <c r="A689" s="13">
        <v>62610</v>
      </c>
      <c r="B689" s="63">
        <f>11.4223 * CHOOSE(CONTROL!$C$22, $C$13, 100%, $E$13)</f>
        <v>11.4223</v>
      </c>
      <c r="C689" s="63">
        <f>11.4223 * CHOOSE(CONTROL!$C$22, $C$13, 100%, $E$13)</f>
        <v>11.4223</v>
      </c>
      <c r="D689" s="63">
        <f>11.4623 * CHOOSE(CONTROL!$C$22, $C$13, 100%, $E$13)</f>
        <v>11.462300000000001</v>
      </c>
      <c r="E689" s="64">
        <f>13.4618 * CHOOSE(CONTROL!$C$22, $C$13, 100%, $E$13)</f>
        <v>13.4618</v>
      </c>
      <c r="F689" s="64">
        <f>13.4618 * CHOOSE(CONTROL!$C$22, $C$13, 100%, $E$13)</f>
        <v>13.4618</v>
      </c>
      <c r="G689" s="64">
        <f>13.4642 * CHOOSE(CONTROL!$C$22, $C$13, 100%, $E$13)</f>
        <v>13.4642</v>
      </c>
      <c r="H689" s="64">
        <f>22.3222* CHOOSE(CONTROL!$C$22, $C$13, 100%, $E$13)</f>
        <v>22.322199999999999</v>
      </c>
      <c r="I689" s="64">
        <f>22.3246 * CHOOSE(CONTROL!$C$22, $C$13, 100%, $E$13)</f>
        <v>22.3246</v>
      </c>
      <c r="J689" s="64">
        <f>13.4618 * CHOOSE(CONTROL!$C$22, $C$13, 100%, $E$13)</f>
        <v>13.4618</v>
      </c>
      <c r="K689" s="64">
        <f>13.4642 * CHOOSE(CONTROL!$C$22, $C$13, 100%, $E$13)</f>
        <v>13.4642</v>
      </c>
    </row>
    <row r="690" spans="1:11" ht="15">
      <c r="A690" s="13">
        <v>62640</v>
      </c>
      <c r="B690" s="63">
        <f>11.6034 * CHOOSE(CONTROL!$C$22, $C$13, 100%, $E$13)</f>
        <v>11.603400000000001</v>
      </c>
      <c r="C690" s="63">
        <f>11.6034 * CHOOSE(CONTROL!$C$22, $C$13, 100%, $E$13)</f>
        <v>11.603400000000001</v>
      </c>
      <c r="D690" s="63">
        <f>11.6434 * CHOOSE(CONTROL!$C$22, $C$13, 100%, $E$13)</f>
        <v>11.6434</v>
      </c>
      <c r="E690" s="64">
        <f>13.7201 * CHOOSE(CONTROL!$C$22, $C$13, 100%, $E$13)</f>
        <v>13.7201</v>
      </c>
      <c r="F690" s="64">
        <f>13.7201 * CHOOSE(CONTROL!$C$22, $C$13, 100%, $E$13)</f>
        <v>13.7201</v>
      </c>
      <c r="G690" s="64">
        <f>13.7226 * CHOOSE(CONTROL!$C$22, $C$13, 100%, $E$13)</f>
        <v>13.7226</v>
      </c>
      <c r="H690" s="64">
        <f>22.3687* CHOOSE(CONTROL!$C$22, $C$13, 100%, $E$13)</f>
        <v>22.3687</v>
      </c>
      <c r="I690" s="64">
        <f>22.3711 * CHOOSE(CONTROL!$C$22, $C$13, 100%, $E$13)</f>
        <v>22.371099999999998</v>
      </c>
      <c r="J690" s="64">
        <f>13.7201 * CHOOSE(CONTROL!$C$22, $C$13, 100%, $E$13)</f>
        <v>13.7201</v>
      </c>
      <c r="K690" s="64">
        <f>13.7226 * CHOOSE(CONTROL!$C$22, $C$13, 100%, $E$13)</f>
        <v>13.7226</v>
      </c>
    </row>
    <row r="691" spans="1:11" ht="15">
      <c r="A691" s="13">
        <v>62671</v>
      </c>
      <c r="B691" s="63">
        <f>11.6101 * CHOOSE(CONTROL!$C$22, $C$13, 100%, $E$13)</f>
        <v>11.610099999999999</v>
      </c>
      <c r="C691" s="63">
        <f>11.6101 * CHOOSE(CONTROL!$C$22, $C$13, 100%, $E$13)</f>
        <v>11.610099999999999</v>
      </c>
      <c r="D691" s="63">
        <f>11.6501 * CHOOSE(CONTROL!$C$22, $C$13, 100%, $E$13)</f>
        <v>11.6501</v>
      </c>
      <c r="E691" s="64">
        <f>13.5854 * CHOOSE(CONTROL!$C$22, $C$13, 100%, $E$13)</f>
        <v>13.5854</v>
      </c>
      <c r="F691" s="64">
        <f>13.5854 * CHOOSE(CONTROL!$C$22, $C$13, 100%, $E$13)</f>
        <v>13.5854</v>
      </c>
      <c r="G691" s="64">
        <f>13.5879 * CHOOSE(CONTROL!$C$22, $C$13, 100%, $E$13)</f>
        <v>13.587899999999999</v>
      </c>
      <c r="H691" s="64">
        <f>22.4153* CHOOSE(CONTROL!$C$22, $C$13, 100%, $E$13)</f>
        <v>22.415299999999998</v>
      </c>
      <c r="I691" s="64">
        <f>22.4177 * CHOOSE(CONTROL!$C$22, $C$13, 100%, $E$13)</f>
        <v>22.4177</v>
      </c>
      <c r="J691" s="64">
        <f>13.5854 * CHOOSE(CONTROL!$C$22, $C$13, 100%, $E$13)</f>
        <v>13.5854</v>
      </c>
      <c r="K691" s="64">
        <f>13.5879 * CHOOSE(CONTROL!$C$22, $C$13, 100%, $E$13)</f>
        <v>13.587899999999999</v>
      </c>
    </row>
    <row r="692" spans="1:11" ht="15">
      <c r="A692" s="13">
        <v>62702</v>
      </c>
      <c r="B692" s="63">
        <f>11.6071 * CHOOSE(CONTROL!$C$22, $C$13, 100%, $E$13)</f>
        <v>11.607100000000001</v>
      </c>
      <c r="C692" s="63">
        <f>11.6071 * CHOOSE(CONTROL!$C$22, $C$13, 100%, $E$13)</f>
        <v>11.607100000000001</v>
      </c>
      <c r="D692" s="63">
        <f>11.647 * CHOOSE(CONTROL!$C$22, $C$13, 100%, $E$13)</f>
        <v>11.647</v>
      </c>
      <c r="E692" s="64">
        <f>13.5678 * CHOOSE(CONTROL!$C$22, $C$13, 100%, $E$13)</f>
        <v>13.5678</v>
      </c>
      <c r="F692" s="64">
        <f>13.5678 * CHOOSE(CONTROL!$C$22, $C$13, 100%, $E$13)</f>
        <v>13.5678</v>
      </c>
      <c r="G692" s="64">
        <f>13.5703 * CHOOSE(CONTROL!$C$22, $C$13, 100%, $E$13)</f>
        <v>13.5703</v>
      </c>
      <c r="H692" s="64">
        <f>22.462* CHOOSE(CONTROL!$C$22, $C$13, 100%, $E$13)</f>
        <v>22.462</v>
      </c>
      <c r="I692" s="64">
        <f>22.4644 * CHOOSE(CONTROL!$C$22, $C$13, 100%, $E$13)</f>
        <v>22.464400000000001</v>
      </c>
      <c r="J692" s="64">
        <f>13.5678 * CHOOSE(CONTROL!$C$22, $C$13, 100%, $E$13)</f>
        <v>13.5678</v>
      </c>
      <c r="K692" s="64">
        <f>13.5703 * CHOOSE(CONTROL!$C$22, $C$13, 100%, $E$13)</f>
        <v>13.5703</v>
      </c>
    </row>
    <row r="693" spans="1:11" ht="15">
      <c r="A693" s="13">
        <v>62732</v>
      </c>
      <c r="B693" s="63">
        <f>11.6273 * CHOOSE(CONTROL!$C$22, $C$13, 100%, $E$13)</f>
        <v>11.6273</v>
      </c>
      <c r="C693" s="63">
        <f>11.6273 * CHOOSE(CONTROL!$C$22, $C$13, 100%, $E$13)</f>
        <v>11.6273</v>
      </c>
      <c r="D693" s="63">
        <f>11.6472 * CHOOSE(CONTROL!$C$22, $C$13, 100%, $E$13)</f>
        <v>11.6472</v>
      </c>
      <c r="E693" s="64">
        <f>13.6163 * CHOOSE(CONTROL!$C$22, $C$13, 100%, $E$13)</f>
        <v>13.616300000000001</v>
      </c>
      <c r="F693" s="64">
        <f>13.6163 * CHOOSE(CONTROL!$C$22, $C$13, 100%, $E$13)</f>
        <v>13.616300000000001</v>
      </c>
      <c r="G693" s="64">
        <f>13.6165 * CHOOSE(CONTROL!$C$22, $C$13, 100%, $E$13)</f>
        <v>13.6165</v>
      </c>
      <c r="H693" s="64">
        <f>22.5088* CHOOSE(CONTROL!$C$22, $C$13, 100%, $E$13)</f>
        <v>22.508800000000001</v>
      </c>
      <c r="I693" s="64">
        <f>22.509 * CHOOSE(CONTROL!$C$22, $C$13, 100%, $E$13)</f>
        <v>22.509</v>
      </c>
      <c r="J693" s="64">
        <f>13.6163 * CHOOSE(CONTROL!$C$22, $C$13, 100%, $E$13)</f>
        <v>13.616300000000001</v>
      </c>
      <c r="K693" s="64">
        <f>13.6165 * CHOOSE(CONTROL!$C$22, $C$13, 100%, $E$13)</f>
        <v>13.6165</v>
      </c>
    </row>
    <row r="694" spans="1:11" ht="15">
      <c r="A694" s="13">
        <v>62763</v>
      </c>
      <c r="B694" s="63">
        <f>11.6303 * CHOOSE(CONTROL!$C$22, $C$13, 100%, $E$13)</f>
        <v>11.6303</v>
      </c>
      <c r="C694" s="63">
        <f>11.6303 * CHOOSE(CONTROL!$C$22, $C$13, 100%, $E$13)</f>
        <v>11.6303</v>
      </c>
      <c r="D694" s="63">
        <f>11.6503 * CHOOSE(CONTROL!$C$22, $C$13, 100%, $E$13)</f>
        <v>11.6503</v>
      </c>
      <c r="E694" s="64">
        <f>13.6494 * CHOOSE(CONTROL!$C$22, $C$13, 100%, $E$13)</f>
        <v>13.6494</v>
      </c>
      <c r="F694" s="64">
        <f>13.6494 * CHOOSE(CONTROL!$C$22, $C$13, 100%, $E$13)</f>
        <v>13.6494</v>
      </c>
      <c r="G694" s="64">
        <f>13.6496 * CHOOSE(CONTROL!$C$22, $C$13, 100%, $E$13)</f>
        <v>13.6496</v>
      </c>
      <c r="H694" s="64">
        <f>22.5557* CHOOSE(CONTROL!$C$22, $C$13, 100%, $E$13)</f>
        <v>22.555700000000002</v>
      </c>
      <c r="I694" s="64">
        <f>22.5559 * CHOOSE(CONTROL!$C$22, $C$13, 100%, $E$13)</f>
        <v>22.555900000000001</v>
      </c>
      <c r="J694" s="64">
        <f>13.6494 * CHOOSE(CONTROL!$C$22, $C$13, 100%, $E$13)</f>
        <v>13.6494</v>
      </c>
      <c r="K694" s="64">
        <f>13.6496 * CHOOSE(CONTROL!$C$22, $C$13, 100%, $E$13)</f>
        <v>13.6496</v>
      </c>
    </row>
    <row r="695" spans="1:11" ht="15">
      <c r="A695" s="13">
        <v>62793</v>
      </c>
      <c r="B695" s="63">
        <f>11.6303 * CHOOSE(CONTROL!$C$22, $C$13, 100%, $E$13)</f>
        <v>11.6303</v>
      </c>
      <c r="C695" s="63">
        <f>11.6303 * CHOOSE(CONTROL!$C$22, $C$13, 100%, $E$13)</f>
        <v>11.6303</v>
      </c>
      <c r="D695" s="63">
        <f>11.6503 * CHOOSE(CONTROL!$C$22, $C$13, 100%, $E$13)</f>
        <v>11.6503</v>
      </c>
      <c r="E695" s="64">
        <f>13.572 * CHOOSE(CONTROL!$C$22, $C$13, 100%, $E$13)</f>
        <v>13.571999999999999</v>
      </c>
      <c r="F695" s="64">
        <f>13.572 * CHOOSE(CONTROL!$C$22, $C$13, 100%, $E$13)</f>
        <v>13.571999999999999</v>
      </c>
      <c r="G695" s="64">
        <f>13.5722 * CHOOSE(CONTROL!$C$22, $C$13, 100%, $E$13)</f>
        <v>13.5722</v>
      </c>
      <c r="H695" s="64">
        <f>22.6027* CHOOSE(CONTROL!$C$22, $C$13, 100%, $E$13)</f>
        <v>22.602699999999999</v>
      </c>
      <c r="I695" s="64">
        <f>22.6028 * CHOOSE(CONTROL!$C$22, $C$13, 100%, $E$13)</f>
        <v>22.602799999999998</v>
      </c>
      <c r="J695" s="64">
        <f>13.572 * CHOOSE(CONTROL!$C$22, $C$13, 100%, $E$13)</f>
        <v>13.571999999999999</v>
      </c>
      <c r="K695" s="64">
        <f>13.5722 * CHOOSE(CONTROL!$C$22, $C$13, 100%, $E$13)</f>
        <v>13.5722</v>
      </c>
    </row>
    <row r="696" spans="1:11" ht="15">
      <c r="A696" s="13">
        <v>62824</v>
      </c>
      <c r="B696" s="63">
        <f>11.6636 * CHOOSE(CONTROL!$C$22, $C$13, 100%, $E$13)</f>
        <v>11.663600000000001</v>
      </c>
      <c r="C696" s="63">
        <f>11.6636 * CHOOSE(CONTROL!$C$22, $C$13, 100%, $E$13)</f>
        <v>11.663600000000001</v>
      </c>
      <c r="D696" s="63">
        <f>11.6836 * CHOOSE(CONTROL!$C$22, $C$13, 100%, $E$13)</f>
        <v>11.6836</v>
      </c>
      <c r="E696" s="64">
        <f>13.6655 * CHOOSE(CONTROL!$C$22, $C$13, 100%, $E$13)</f>
        <v>13.6655</v>
      </c>
      <c r="F696" s="64">
        <f>13.6655 * CHOOSE(CONTROL!$C$22, $C$13, 100%, $E$13)</f>
        <v>13.6655</v>
      </c>
      <c r="G696" s="64">
        <f>13.6657 * CHOOSE(CONTROL!$C$22, $C$13, 100%, $E$13)</f>
        <v>13.665699999999999</v>
      </c>
      <c r="H696" s="64">
        <f>22.537* CHOOSE(CONTROL!$C$22, $C$13, 100%, $E$13)</f>
        <v>22.536999999999999</v>
      </c>
      <c r="I696" s="64">
        <f>22.5372 * CHOOSE(CONTROL!$C$22, $C$13, 100%, $E$13)</f>
        <v>22.537199999999999</v>
      </c>
      <c r="J696" s="64">
        <f>13.6655 * CHOOSE(CONTROL!$C$22, $C$13, 100%, $E$13)</f>
        <v>13.6655</v>
      </c>
      <c r="K696" s="64">
        <f>13.6657 * CHOOSE(CONTROL!$C$22, $C$13, 100%, $E$13)</f>
        <v>13.665699999999999</v>
      </c>
    </row>
    <row r="697" spans="1:11" ht="15">
      <c r="A697" s="13">
        <v>62855</v>
      </c>
      <c r="B697" s="63">
        <f>11.6606 * CHOOSE(CONTROL!$C$22, $C$13, 100%, $E$13)</f>
        <v>11.660600000000001</v>
      </c>
      <c r="C697" s="63">
        <f>11.6606 * CHOOSE(CONTROL!$C$22, $C$13, 100%, $E$13)</f>
        <v>11.660600000000001</v>
      </c>
      <c r="D697" s="63">
        <f>11.6805 * CHOOSE(CONTROL!$C$22, $C$13, 100%, $E$13)</f>
        <v>11.6805</v>
      </c>
      <c r="E697" s="64">
        <f>13.5139 * CHOOSE(CONTROL!$C$22, $C$13, 100%, $E$13)</f>
        <v>13.5139</v>
      </c>
      <c r="F697" s="64">
        <f>13.5139 * CHOOSE(CONTROL!$C$22, $C$13, 100%, $E$13)</f>
        <v>13.5139</v>
      </c>
      <c r="G697" s="64">
        <f>13.5141 * CHOOSE(CONTROL!$C$22, $C$13, 100%, $E$13)</f>
        <v>13.514099999999999</v>
      </c>
      <c r="H697" s="64">
        <f>22.584* CHOOSE(CONTROL!$C$22, $C$13, 100%, $E$13)</f>
        <v>22.584</v>
      </c>
      <c r="I697" s="64">
        <f>22.5841 * CHOOSE(CONTROL!$C$22, $C$13, 100%, $E$13)</f>
        <v>22.584099999999999</v>
      </c>
      <c r="J697" s="64">
        <f>13.5139 * CHOOSE(CONTROL!$C$22, $C$13, 100%, $E$13)</f>
        <v>13.5139</v>
      </c>
      <c r="K697" s="64">
        <f>13.5141 * CHOOSE(CONTROL!$C$22, $C$13, 100%, $E$13)</f>
        <v>13.514099999999999</v>
      </c>
    </row>
    <row r="698" spans="1:11" ht="15">
      <c r="A698" s="13">
        <v>62884</v>
      </c>
      <c r="B698" s="63">
        <f>11.6575 * CHOOSE(CONTROL!$C$22, $C$13, 100%, $E$13)</f>
        <v>11.657500000000001</v>
      </c>
      <c r="C698" s="63">
        <f>11.6575 * CHOOSE(CONTROL!$C$22, $C$13, 100%, $E$13)</f>
        <v>11.657500000000001</v>
      </c>
      <c r="D698" s="63">
        <f>11.6775 * CHOOSE(CONTROL!$C$22, $C$13, 100%, $E$13)</f>
        <v>11.6775</v>
      </c>
      <c r="E698" s="64">
        <f>13.6297 * CHOOSE(CONTROL!$C$22, $C$13, 100%, $E$13)</f>
        <v>13.6297</v>
      </c>
      <c r="F698" s="64">
        <f>13.6297 * CHOOSE(CONTROL!$C$22, $C$13, 100%, $E$13)</f>
        <v>13.6297</v>
      </c>
      <c r="G698" s="64">
        <f>13.6298 * CHOOSE(CONTROL!$C$22, $C$13, 100%, $E$13)</f>
        <v>13.629799999999999</v>
      </c>
      <c r="H698" s="64">
        <f>22.631* CHOOSE(CONTROL!$C$22, $C$13, 100%, $E$13)</f>
        <v>22.631</v>
      </c>
      <c r="I698" s="64">
        <f>22.6312 * CHOOSE(CONTROL!$C$22, $C$13, 100%, $E$13)</f>
        <v>22.6312</v>
      </c>
      <c r="J698" s="64">
        <f>13.6297 * CHOOSE(CONTROL!$C$22, $C$13, 100%, $E$13)</f>
        <v>13.6297</v>
      </c>
      <c r="K698" s="64">
        <f>13.6298 * CHOOSE(CONTROL!$C$22, $C$13, 100%, $E$13)</f>
        <v>13.629799999999999</v>
      </c>
    </row>
    <row r="699" spans="1:11" ht="15">
      <c r="A699" s="13">
        <v>62915</v>
      </c>
      <c r="B699" s="63">
        <f>11.6618 * CHOOSE(CONTROL!$C$22, $C$13, 100%, $E$13)</f>
        <v>11.661799999999999</v>
      </c>
      <c r="C699" s="63">
        <f>11.6618 * CHOOSE(CONTROL!$C$22, $C$13, 100%, $E$13)</f>
        <v>11.661799999999999</v>
      </c>
      <c r="D699" s="63">
        <f>11.6817 * CHOOSE(CONTROL!$C$22, $C$13, 100%, $E$13)</f>
        <v>11.681699999999999</v>
      </c>
      <c r="E699" s="64">
        <f>13.752 * CHOOSE(CONTROL!$C$22, $C$13, 100%, $E$13)</f>
        <v>13.752000000000001</v>
      </c>
      <c r="F699" s="64">
        <f>13.752 * CHOOSE(CONTROL!$C$22, $C$13, 100%, $E$13)</f>
        <v>13.752000000000001</v>
      </c>
      <c r="G699" s="64">
        <f>13.7522 * CHOOSE(CONTROL!$C$22, $C$13, 100%, $E$13)</f>
        <v>13.7522</v>
      </c>
      <c r="H699" s="64">
        <f>22.6782* CHOOSE(CONTROL!$C$22, $C$13, 100%, $E$13)</f>
        <v>22.6782</v>
      </c>
      <c r="I699" s="64">
        <f>22.6783 * CHOOSE(CONTROL!$C$22, $C$13, 100%, $E$13)</f>
        <v>22.6783</v>
      </c>
      <c r="J699" s="64">
        <f>13.752 * CHOOSE(CONTROL!$C$22, $C$13, 100%, $E$13)</f>
        <v>13.752000000000001</v>
      </c>
      <c r="K699" s="64">
        <f>13.7522 * CHOOSE(CONTROL!$C$22, $C$13, 100%, $E$13)</f>
        <v>13.7522</v>
      </c>
    </row>
    <row r="700" spans="1:11" ht="15">
      <c r="A700" s="13">
        <v>62945</v>
      </c>
      <c r="B700" s="63">
        <f>11.6618 * CHOOSE(CONTROL!$C$22, $C$13, 100%, $E$13)</f>
        <v>11.661799999999999</v>
      </c>
      <c r="C700" s="63">
        <f>11.6618 * CHOOSE(CONTROL!$C$22, $C$13, 100%, $E$13)</f>
        <v>11.661799999999999</v>
      </c>
      <c r="D700" s="63">
        <f>11.7017 * CHOOSE(CONTROL!$C$22, $C$13, 100%, $E$13)</f>
        <v>11.701700000000001</v>
      </c>
      <c r="E700" s="64">
        <f>13.7995 * CHOOSE(CONTROL!$C$22, $C$13, 100%, $E$13)</f>
        <v>13.7995</v>
      </c>
      <c r="F700" s="64">
        <f>13.7995 * CHOOSE(CONTROL!$C$22, $C$13, 100%, $E$13)</f>
        <v>13.7995</v>
      </c>
      <c r="G700" s="64">
        <f>13.8019 * CHOOSE(CONTROL!$C$22, $C$13, 100%, $E$13)</f>
        <v>13.8019</v>
      </c>
      <c r="H700" s="64">
        <f>22.7254* CHOOSE(CONTROL!$C$22, $C$13, 100%, $E$13)</f>
        <v>22.7254</v>
      </c>
      <c r="I700" s="64">
        <f>22.7278 * CHOOSE(CONTROL!$C$22, $C$13, 100%, $E$13)</f>
        <v>22.727799999999998</v>
      </c>
      <c r="J700" s="64">
        <f>13.7995 * CHOOSE(CONTROL!$C$22, $C$13, 100%, $E$13)</f>
        <v>13.7995</v>
      </c>
      <c r="K700" s="64">
        <f>13.8019 * CHOOSE(CONTROL!$C$22, $C$13, 100%, $E$13)</f>
        <v>13.8019</v>
      </c>
    </row>
    <row r="701" spans="1:11" ht="15">
      <c r="A701" s="13">
        <v>62976</v>
      </c>
      <c r="B701" s="63">
        <f>11.6679 * CHOOSE(CONTROL!$C$22, $C$13, 100%, $E$13)</f>
        <v>11.667899999999999</v>
      </c>
      <c r="C701" s="63">
        <f>11.6679 * CHOOSE(CONTROL!$C$22, $C$13, 100%, $E$13)</f>
        <v>11.667899999999999</v>
      </c>
      <c r="D701" s="63">
        <f>11.7078 * CHOOSE(CONTROL!$C$22, $C$13, 100%, $E$13)</f>
        <v>11.707800000000001</v>
      </c>
      <c r="E701" s="64">
        <f>13.7562 * CHOOSE(CONTROL!$C$22, $C$13, 100%, $E$13)</f>
        <v>13.7562</v>
      </c>
      <c r="F701" s="64">
        <f>13.7562 * CHOOSE(CONTROL!$C$22, $C$13, 100%, $E$13)</f>
        <v>13.7562</v>
      </c>
      <c r="G701" s="64">
        <f>13.7587 * CHOOSE(CONTROL!$C$22, $C$13, 100%, $E$13)</f>
        <v>13.758699999999999</v>
      </c>
      <c r="H701" s="64">
        <f>22.7727* CHOOSE(CONTROL!$C$22, $C$13, 100%, $E$13)</f>
        <v>22.7727</v>
      </c>
      <c r="I701" s="64">
        <f>22.7752 * CHOOSE(CONTROL!$C$22, $C$13, 100%, $E$13)</f>
        <v>22.775200000000002</v>
      </c>
      <c r="J701" s="64">
        <f>13.7562 * CHOOSE(CONTROL!$C$22, $C$13, 100%, $E$13)</f>
        <v>13.7562</v>
      </c>
      <c r="K701" s="64">
        <f>13.7587 * CHOOSE(CONTROL!$C$22, $C$13, 100%, $E$13)</f>
        <v>13.758699999999999</v>
      </c>
    </row>
    <row r="702" spans="1:11" ht="15">
      <c r="A702" s="13">
        <v>63006</v>
      </c>
      <c r="B702" s="63">
        <f>11.8526 * CHOOSE(CONTROL!$C$22, $C$13, 100%, $E$13)</f>
        <v>11.852600000000001</v>
      </c>
      <c r="C702" s="63">
        <f>11.8526 * CHOOSE(CONTROL!$C$22, $C$13, 100%, $E$13)</f>
        <v>11.852600000000001</v>
      </c>
      <c r="D702" s="63">
        <f>11.8926 * CHOOSE(CONTROL!$C$22, $C$13, 100%, $E$13)</f>
        <v>11.8926</v>
      </c>
      <c r="E702" s="64">
        <f>14.02 * CHOOSE(CONTROL!$C$22, $C$13, 100%, $E$13)</f>
        <v>14.02</v>
      </c>
      <c r="F702" s="64">
        <f>14.02 * CHOOSE(CONTROL!$C$22, $C$13, 100%, $E$13)</f>
        <v>14.02</v>
      </c>
      <c r="G702" s="64">
        <f>14.0224 * CHOOSE(CONTROL!$C$22, $C$13, 100%, $E$13)</f>
        <v>14.022399999999999</v>
      </c>
      <c r="H702" s="64">
        <f>22.8202* CHOOSE(CONTROL!$C$22, $C$13, 100%, $E$13)</f>
        <v>22.8202</v>
      </c>
      <c r="I702" s="64">
        <f>22.8226 * CHOOSE(CONTROL!$C$22, $C$13, 100%, $E$13)</f>
        <v>22.822600000000001</v>
      </c>
      <c r="J702" s="64">
        <f>14.02 * CHOOSE(CONTROL!$C$22, $C$13, 100%, $E$13)</f>
        <v>14.02</v>
      </c>
      <c r="K702" s="64">
        <f>14.0224 * CHOOSE(CONTROL!$C$22, $C$13, 100%, $E$13)</f>
        <v>14.022399999999999</v>
      </c>
    </row>
    <row r="703" spans="1:11" ht="15">
      <c r="A703" s="13">
        <v>63037</v>
      </c>
      <c r="B703" s="63">
        <f>11.8593 * CHOOSE(CONTROL!$C$22, $C$13, 100%, $E$13)</f>
        <v>11.859299999999999</v>
      </c>
      <c r="C703" s="63">
        <f>11.8593 * CHOOSE(CONTROL!$C$22, $C$13, 100%, $E$13)</f>
        <v>11.859299999999999</v>
      </c>
      <c r="D703" s="63">
        <f>11.8993 * CHOOSE(CONTROL!$C$22, $C$13, 100%, $E$13)</f>
        <v>11.8993</v>
      </c>
      <c r="E703" s="64">
        <f>13.8823 * CHOOSE(CONTROL!$C$22, $C$13, 100%, $E$13)</f>
        <v>13.882300000000001</v>
      </c>
      <c r="F703" s="64">
        <f>13.8823 * CHOOSE(CONTROL!$C$22, $C$13, 100%, $E$13)</f>
        <v>13.882300000000001</v>
      </c>
      <c r="G703" s="64">
        <f>13.8847 * CHOOSE(CONTROL!$C$22, $C$13, 100%, $E$13)</f>
        <v>13.8847</v>
      </c>
      <c r="H703" s="64">
        <f>22.8677* CHOOSE(CONTROL!$C$22, $C$13, 100%, $E$13)</f>
        <v>22.867699999999999</v>
      </c>
      <c r="I703" s="64">
        <f>22.8702 * CHOOSE(CONTROL!$C$22, $C$13, 100%, $E$13)</f>
        <v>22.870200000000001</v>
      </c>
      <c r="J703" s="64">
        <f>13.8823 * CHOOSE(CONTROL!$C$22, $C$13, 100%, $E$13)</f>
        <v>13.882300000000001</v>
      </c>
      <c r="K703" s="64">
        <f>13.8847 * CHOOSE(CONTROL!$C$22, $C$13, 100%, $E$13)</f>
        <v>13.8847</v>
      </c>
    </row>
    <row r="704" spans="1:11" ht="15">
      <c r="A704" s="13">
        <v>63068</v>
      </c>
      <c r="B704" s="63">
        <f>11.8563 * CHOOSE(CONTROL!$C$22, $C$13, 100%, $E$13)</f>
        <v>11.856299999999999</v>
      </c>
      <c r="C704" s="63">
        <f>11.8563 * CHOOSE(CONTROL!$C$22, $C$13, 100%, $E$13)</f>
        <v>11.856299999999999</v>
      </c>
      <c r="D704" s="63">
        <f>11.8962 * CHOOSE(CONTROL!$C$22, $C$13, 100%, $E$13)</f>
        <v>11.8962</v>
      </c>
      <c r="E704" s="64">
        <f>13.8643 * CHOOSE(CONTROL!$C$22, $C$13, 100%, $E$13)</f>
        <v>13.8643</v>
      </c>
      <c r="F704" s="64">
        <f>13.8643 * CHOOSE(CONTROL!$C$22, $C$13, 100%, $E$13)</f>
        <v>13.8643</v>
      </c>
      <c r="G704" s="64">
        <f>13.8668 * CHOOSE(CONTROL!$C$22, $C$13, 100%, $E$13)</f>
        <v>13.8668</v>
      </c>
      <c r="H704" s="64">
        <f>22.9154* CHOOSE(CONTROL!$C$22, $C$13, 100%, $E$13)</f>
        <v>22.915400000000002</v>
      </c>
      <c r="I704" s="64">
        <f>22.9178 * CHOOSE(CONTROL!$C$22, $C$13, 100%, $E$13)</f>
        <v>22.9178</v>
      </c>
      <c r="J704" s="64">
        <f>13.8643 * CHOOSE(CONTROL!$C$22, $C$13, 100%, $E$13)</f>
        <v>13.8643</v>
      </c>
      <c r="K704" s="64">
        <f>13.8668 * CHOOSE(CONTROL!$C$22, $C$13, 100%, $E$13)</f>
        <v>13.8668</v>
      </c>
    </row>
    <row r="705" spans="1:11" ht="15">
      <c r="A705" s="13">
        <v>63098</v>
      </c>
      <c r="B705" s="63">
        <f>11.8773 * CHOOSE(CONTROL!$C$22, $C$13, 100%, $E$13)</f>
        <v>11.8773</v>
      </c>
      <c r="C705" s="63">
        <f>11.8773 * CHOOSE(CONTROL!$C$22, $C$13, 100%, $E$13)</f>
        <v>11.8773</v>
      </c>
      <c r="D705" s="63">
        <f>11.8973 * CHOOSE(CONTROL!$C$22, $C$13, 100%, $E$13)</f>
        <v>11.8973</v>
      </c>
      <c r="E705" s="64">
        <f>13.9142 * CHOOSE(CONTROL!$C$22, $C$13, 100%, $E$13)</f>
        <v>13.914199999999999</v>
      </c>
      <c r="F705" s="64">
        <f>13.9142 * CHOOSE(CONTROL!$C$22, $C$13, 100%, $E$13)</f>
        <v>13.914199999999999</v>
      </c>
      <c r="G705" s="64">
        <f>13.9144 * CHOOSE(CONTROL!$C$22, $C$13, 100%, $E$13)</f>
        <v>13.914400000000001</v>
      </c>
      <c r="H705" s="64">
        <f>22.9631* CHOOSE(CONTROL!$C$22, $C$13, 100%, $E$13)</f>
        <v>22.963100000000001</v>
      </c>
      <c r="I705" s="64">
        <f>22.9633 * CHOOSE(CONTROL!$C$22, $C$13, 100%, $E$13)</f>
        <v>22.9633</v>
      </c>
      <c r="J705" s="64">
        <f>13.9142 * CHOOSE(CONTROL!$C$22, $C$13, 100%, $E$13)</f>
        <v>13.914199999999999</v>
      </c>
      <c r="K705" s="64">
        <f>13.9144 * CHOOSE(CONTROL!$C$22, $C$13, 100%, $E$13)</f>
        <v>13.914400000000001</v>
      </c>
    </row>
    <row r="706" spans="1:11" ht="15">
      <c r="A706" s="13">
        <v>63129</v>
      </c>
      <c r="B706" s="63">
        <f>11.8803 * CHOOSE(CONTROL!$C$22, $C$13, 100%, $E$13)</f>
        <v>11.8803</v>
      </c>
      <c r="C706" s="63">
        <f>11.8803 * CHOOSE(CONTROL!$C$22, $C$13, 100%, $E$13)</f>
        <v>11.8803</v>
      </c>
      <c r="D706" s="63">
        <f>11.9003 * CHOOSE(CONTROL!$C$22, $C$13, 100%, $E$13)</f>
        <v>11.9003</v>
      </c>
      <c r="E706" s="64">
        <f>13.9479 * CHOOSE(CONTROL!$C$22, $C$13, 100%, $E$13)</f>
        <v>13.947900000000001</v>
      </c>
      <c r="F706" s="64">
        <f>13.9479 * CHOOSE(CONTROL!$C$22, $C$13, 100%, $E$13)</f>
        <v>13.947900000000001</v>
      </c>
      <c r="G706" s="64">
        <f>13.9481 * CHOOSE(CONTROL!$C$22, $C$13, 100%, $E$13)</f>
        <v>13.9481</v>
      </c>
      <c r="H706" s="64">
        <f>23.0109* CHOOSE(CONTROL!$C$22, $C$13, 100%, $E$13)</f>
        <v>23.010899999999999</v>
      </c>
      <c r="I706" s="64">
        <f>23.0111 * CHOOSE(CONTROL!$C$22, $C$13, 100%, $E$13)</f>
        <v>23.011099999999999</v>
      </c>
      <c r="J706" s="64">
        <f>13.9479 * CHOOSE(CONTROL!$C$22, $C$13, 100%, $E$13)</f>
        <v>13.947900000000001</v>
      </c>
      <c r="K706" s="64">
        <f>13.9481 * CHOOSE(CONTROL!$C$22, $C$13, 100%, $E$13)</f>
        <v>13.9481</v>
      </c>
    </row>
    <row r="707" spans="1:11" ht="15">
      <c r="A707" s="13">
        <v>63159</v>
      </c>
      <c r="B707" s="63">
        <f>11.8803 * CHOOSE(CONTROL!$C$22, $C$13, 100%, $E$13)</f>
        <v>11.8803</v>
      </c>
      <c r="C707" s="63">
        <f>11.8803 * CHOOSE(CONTROL!$C$22, $C$13, 100%, $E$13)</f>
        <v>11.8803</v>
      </c>
      <c r="D707" s="63">
        <f>11.9003 * CHOOSE(CONTROL!$C$22, $C$13, 100%, $E$13)</f>
        <v>11.9003</v>
      </c>
      <c r="E707" s="64">
        <f>13.8688 * CHOOSE(CONTROL!$C$22, $C$13, 100%, $E$13)</f>
        <v>13.8688</v>
      </c>
      <c r="F707" s="64">
        <f>13.8688 * CHOOSE(CONTROL!$C$22, $C$13, 100%, $E$13)</f>
        <v>13.8688</v>
      </c>
      <c r="G707" s="64">
        <f>13.869 * CHOOSE(CONTROL!$C$22, $C$13, 100%, $E$13)</f>
        <v>13.869</v>
      </c>
      <c r="H707" s="64">
        <f>23.0589* CHOOSE(CONTROL!$C$22, $C$13, 100%, $E$13)</f>
        <v>23.058900000000001</v>
      </c>
      <c r="I707" s="64">
        <f>23.0591 * CHOOSE(CONTROL!$C$22, $C$13, 100%, $E$13)</f>
        <v>23.059100000000001</v>
      </c>
      <c r="J707" s="64">
        <f>13.8688 * CHOOSE(CONTROL!$C$22, $C$13, 100%, $E$13)</f>
        <v>13.8688</v>
      </c>
      <c r="K707" s="64">
        <f>13.869 * CHOOSE(CONTROL!$C$22, $C$13, 100%, $E$13)</f>
        <v>13.869</v>
      </c>
    </row>
    <row r="708" spans="1:11" ht="15">
      <c r="A708" s="13">
        <v>63190</v>
      </c>
      <c r="B708" s="63">
        <f>11.9089 * CHOOSE(CONTROL!$C$22, $C$13, 100%, $E$13)</f>
        <v>11.908899999999999</v>
      </c>
      <c r="C708" s="63">
        <f>11.9089 * CHOOSE(CONTROL!$C$22, $C$13, 100%, $E$13)</f>
        <v>11.908899999999999</v>
      </c>
      <c r="D708" s="63">
        <f>11.9289 * CHOOSE(CONTROL!$C$22, $C$13, 100%, $E$13)</f>
        <v>11.928900000000001</v>
      </c>
      <c r="E708" s="64">
        <f>13.958 * CHOOSE(CONTROL!$C$22, $C$13, 100%, $E$13)</f>
        <v>13.958</v>
      </c>
      <c r="F708" s="64">
        <f>13.958 * CHOOSE(CONTROL!$C$22, $C$13, 100%, $E$13)</f>
        <v>13.958</v>
      </c>
      <c r="G708" s="64">
        <f>13.9581 * CHOOSE(CONTROL!$C$22, $C$13, 100%, $E$13)</f>
        <v>13.9581</v>
      </c>
      <c r="H708" s="64">
        <f>22.9829* CHOOSE(CONTROL!$C$22, $C$13, 100%, $E$13)</f>
        <v>22.982900000000001</v>
      </c>
      <c r="I708" s="64">
        <f>22.9831 * CHOOSE(CONTROL!$C$22, $C$13, 100%, $E$13)</f>
        <v>22.9831</v>
      </c>
      <c r="J708" s="64">
        <f>13.958 * CHOOSE(CONTROL!$C$22, $C$13, 100%, $E$13)</f>
        <v>13.958</v>
      </c>
      <c r="K708" s="64">
        <f>13.9581 * CHOOSE(CONTROL!$C$22, $C$13, 100%, $E$13)</f>
        <v>13.9581</v>
      </c>
    </row>
    <row r="709" spans="1:11" ht="15">
      <c r="A709" s="13">
        <v>63221</v>
      </c>
      <c r="B709" s="63">
        <f>11.9059 * CHOOSE(CONTROL!$C$22, $C$13, 100%, $E$13)</f>
        <v>11.905900000000001</v>
      </c>
      <c r="C709" s="63">
        <f>11.9059 * CHOOSE(CONTROL!$C$22, $C$13, 100%, $E$13)</f>
        <v>11.905900000000001</v>
      </c>
      <c r="D709" s="63">
        <f>11.9259 * CHOOSE(CONTROL!$C$22, $C$13, 100%, $E$13)</f>
        <v>11.9259</v>
      </c>
      <c r="E709" s="64">
        <f>13.8031 * CHOOSE(CONTROL!$C$22, $C$13, 100%, $E$13)</f>
        <v>13.803100000000001</v>
      </c>
      <c r="F709" s="64">
        <f>13.8031 * CHOOSE(CONTROL!$C$22, $C$13, 100%, $E$13)</f>
        <v>13.803100000000001</v>
      </c>
      <c r="G709" s="64">
        <f>13.8033 * CHOOSE(CONTROL!$C$22, $C$13, 100%, $E$13)</f>
        <v>13.8033</v>
      </c>
      <c r="H709" s="64">
        <f>23.0308* CHOOSE(CONTROL!$C$22, $C$13, 100%, $E$13)</f>
        <v>23.030799999999999</v>
      </c>
      <c r="I709" s="64">
        <f>23.031 * CHOOSE(CONTROL!$C$22, $C$13, 100%, $E$13)</f>
        <v>23.030999999999999</v>
      </c>
      <c r="J709" s="64">
        <f>13.8031 * CHOOSE(CONTROL!$C$22, $C$13, 100%, $E$13)</f>
        <v>13.803100000000001</v>
      </c>
      <c r="K709" s="64">
        <f>13.8033 * CHOOSE(CONTROL!$C$22, $C$13, 100%, $E$13)</f>
        <v>13.8033</v>
      </c>
    </row>
    <row r="710" spans="1:11" ht="15">
      <c r="A710" s="13">
        <v>63249</v>
      </c>
      <c r="B710" s="63">
        <f>11.9029 * CHOOSE(CONTROL!$C$22, $C$13, 100%, $E$13)</f>
        <v>11.902900000000001</v>
      </c>
      <c r="C710" s="63">
        <f>11.9029 * CHOOSE(CONTROL!$C$22, $C$13, 100%, $E$13)</f>
        <v>11.902900000000001</v>
      </c>
      <c r="D710" s="63">
        <f>11.9228 * CHOOSE(CONTROL!$C$22, $C$13, 100%, $E$13)</f>
        <v>11.922800000000001</v>
      </c>
      <c r="E710" s="64">
        <f>13.9214 * CHOOSE(CONTROL!$C$22, $C$13, 100%, $E$13)</f>
        <v>13.9214</v>
      </c>
      <c r="F710" s="64">
        <f>13.9214 * CHOOSE(CONTROL!$C$22, $C$13, 100%, $E$13)</f>
        <v>13.9214</v>
      </c>
      <c r="G710" s="64">
        <f>13.9216 * CHOOSE(CONTROL!$C$22, $C$13, 100%, $E$13)</f>
        <v>13.9216</v>
      </c>
      <c r="H710" s="64">
        <f>23.0788* CHOOSE(CONTROL!$C$22, $C$13, 100%, $E$13)</f>
        <v>23.078800000000001</v>
      </c>
      <c r="I710" s="64">
        <f>23.0789 * CHOOSE(CONTROL!$C$22, $C$13, 100%, $E$13)</f>
        <v>23.078900000000001</v>
      </c>
      <c r="J710" s="64">
        <f>13.9214 * CHOOSE(CONTROL!$C$22, $C$13, 100%, $E$13)</f>
        <v>13.9214</v>
      </c>
      <c r="K710" s="64">
        <f>13.9216 * CHOOSE(CONTROL!$C$22, $C$13, 100%, $E$13)</f>
        <v>13.9216</v>
      </c>
    </row>
    <row r="711" spans="1:11" ht="15">
      <c r="A711" s="13">
        <v>63280</v>
      </c>
      <c r="B711" s="63">
        <f>11.9073 * CHOOSE(CONTROL!$C$22, $C$13, 100%, $E$13)</f>
        <v>11.907299999999999</v>
      </c>
      <c r="C711" s="63">
        <f>11.9073 * CHOOSE(CONTROL!$C$22, $C$13, 100%, $E$13)</f>
        <v>11.907299999999999</v>
      </c>
      <c r="D711" s="63">
        <f>11.9273 * CHOOSE(CONTROL!$C$22, $C$13, 100%, $E$13)</f>
        <v>11.927300000000001</v>
      </c>
      <c r="E711" s="64">
        <f>14.0464 * CHOOSE(CONTROL!$C$22, $C$13, 100%, $E$13)</f>
        <v>14.0464</v>
      </c>
      <c r="F711" s="64">
        <f>14.0464 * CHOOSE(CONTROL!$C$22, $C$13, 100%, $E$13)</f>
        <v>14.0464</v>
      </c>
      <c r="G711" s="64">
        <f>14.0466 * CHOOSE(CONTROL!$C$22, $C$13, 100%, $E$13)</f>
        <v>14.0466</v>
      </c>
      <c r="H711" s="64">
        <f>23.1268* CHOOSE(CONTROL!$C$22, $C$13, 100%, $E$13)</f>
        <v>23.126799999999999</v>
      </c>
      <c r="I711" s="64">
        <f>23.127 * CHOOSE(CONTROL!$C$22, $C$13, 100%, $E$13)</f>
        <v>23.126999999999999</v>
      </c>
      <c r="J711" s="64">
        <f>14.0464 * CHOOSE(CONTROL!$C$22, $C$13, 100%, $E$13)</f>
        <v>14.0464</v>
      </c>
      <c r="K711" s="64">
        <f>14.0466 * CHOOSE(CONTROL!$C$22, $C$13, 100%, $E$13)</f>
        <v>14.0466</v>
      </c>
    </row>
    <row r="712" spans="1:11" ht="15">
      <c r="A712" s="13">
        <v>63310</v>
      </c>
      <c r="B712" s="63">
        <f>11.9073 * CHOOSE(CONTROL!$C$22, $C$13, 100%, $E$13)</f>
        <v>11.907299999999999</v>
      </c>
      <c r="C712" s="63">
        <f>11.9073 * CHOOSE(CONTROL!$C$22, $C$13, 100%, $E$13)</f>
        <v>11.907299999999999</v>
      </c>
      <c r="D712" s="63">
        <f>11.9472 * CHOOSE(CONTROL!$C$22, $C$13, 100%, $E$13)</f>
        <v>11.9472</v>
      </c>
      <c r="E712" s="64">
        <f>14.0949 * CHOOSE(CONTROL!$C$22, $C$13, 100%, $E$13)</f>
        <v>14.094900000000001</v>
      </c>
      <c r="F712" s="64">
        <f>14.0949 * CHOOSE(CONTROL!$C$22, $C$13, 100%, $E$13)</f>
        <v>14.094900000000001</v>
      </c>
      <c r="G712" s="64">
        <f>14.0974 * CHOOSE(CONTROL!$C$22, $C$13, 100%, $E$13)</f>
        <v>14.0974</v>
      </c>
      <c r="H712" s="64">
        <f>23.175* CHOOSE(CONTROL!$C$22, $C$13, 100%, $E$13)</f>
        <v>23.175000000000001</v>
      </c>
      <c r="I712" s="64">
        <f>23.1775 * CHOOSE(CONTROL!$C$22, $C$13, 100%, $E$13)</f>
        <v>23.177499999999998</v>
      </c>
      <c r="J712" s="64">
        <f>14.0949 * CHOOSE(CONTROL!$C$22, $C$13, 100%, $E$13)</f>
        <v>14.094900000000001</v>
      </c>
      <c r="K712" s="64">
        <f>14.0974 * CHOOSE(CONTROL!$C$22, $C$13, 100%, $E$13)</f>
        <v>14.0974</v>
      </c>
    </row>
    <row r="713" spans="1:11" ht="15">
      <c r="A713" s="13">
        <v>63341</v>
      </c>
      <c r="B713" s="63">
        <f>11.9134 * CHOOSE(CONTROL!$C$22, $C$13, 100%, $E$13)</f>
        <v>11.913399999999999</v>
      </c>
      <c r="C713" s="63">
        <f>11.9134 * CHOOSE(CONTROL!$C$22, $C$13, 100%, $E$13)</f>
        <v>11.913399999999999</v>
      </c>
      <c r="D713" s="63">
        <f>11.9533 * CHOOSE(CONTROL!$C$22, $C$13, 100%, $E$13)</f>
        <v>11.9533</v>
      </c>
      <c r="E713" s="64">
        <f>14.0507 * CHOOSE(CONTROL!$C$22, $C$13, 100%, $E$13)</f>
        <v>14.050700000000001</v>
      </c>
      <c r="F713" s="64">
        <f>14.0507 * CHOOSE(CONTROL!$C$22, $C$13, 100%, $E$13)</f>
        <v>14.050700000000001</v>
      </c>
      <c r="G713" s="64">
        <f>14.0531 * CHOOSE(CONTROL!$C$22, $C$13, 100%, $E$13)</f>
        <v>14.053100000000001</v>
      </c>
      <c r="H713" s="64">
        <f>23.2233* CHOOSE(CONTROL!$C$22, $C$13, 100%, $E$13)</f>
        <v>23.223299999999998</v>
      </c>
      <c r="I713" s="64">
        <f>23.2257 * CHOOSE(CONTROL!$C$22, $C$13, 100%, $E$13)</f>
        <v>23.2257</v>
      </c>
      <c r="J713" s="64">
        <f>14.0507 * CHOOSE(CONTROL!$C$22, $C$13, 100%, $E$13)</f>
        <v>14.050700000000001</v>
      </c>
      <c r="K713" s="64">
        <f>14.0531 * CHOOSE(CONTROL!$C$22, $C$13, 100%, $E$13)</f>
        <v>14.053100000000001</v>
      </c>
    </row>
    <row r="714" spans="1:11" ht="15">
      <c r="A714" s="13">
        <v>63371</v>
      </c>
      <c r="B714" s="63">
        <f>12.1019 * CHOOSE(CONTROL!$C$22, $C$13, 100%, $E$13)</f>
        <v>12.101900000000001</v>
      </c>
      <c r="C714" s="63">
        <f>12.1019 * CHOOSE(CONTROL!$C$22, $C$13, 100%, $E$13)</f>
        <v>12.101900000000001</v>
      </c>
      <c r="D714" s="63">
        <f>12.1418 * CHOOSE(CONTROL!$C$22, $C$13, 100%, $E$13)</f>
        <v>12.1418</v>
      </c>
      <c r="E714" s="64">
        <f>14.3199 * CHOOSE(CONTROL!$C$22, $C$13, 100%, $E$13)</f>
        <v>14.319900000000001</v>
      </c>
      <c r="F714" s="64">
        <f>14.3199 * CHOOSE(CONTROL!$C$22, $C$13, 100%, $E$13)</f>
        <v>14.319900000000001</v>
      </c>
      <c r="G714" s="64">
        <f>14.3223 * CHOOSE(CONTROL!$C$22, $C$13, 100%, $E$13)</f>
        <v>14.3223</v>
      </c>
      <c r="H714" s="64">
        <f>23.2717* CHOOSE(CONTROL!$C$22, $C$13, 100%, $E$13)</f>
        <v>23.271699999999999</v>
      </c>
      <c r="I714" s="64">
        <f>23.2741 * CHOOSE(CONTROL!$C$22, $C$13, 100%, $E$13)</f>
        <v>23.274100000000001</v>
      </c>
      <c r="J714" s="64">
        <f>14.3199 * CHOOSE(CONTROL!$C$22, $C$13, 100%, $E$13)</f>
        <v>14.319900000000001</v>
      </c>
      <c r="K714" s="64">
        <f>14.3223 * CHOOSE(CONTROL!$C$22, $C$13, 100%, $E$13)</f>
        <v>14.3223</v>
      </c>
    </row>
    <row r="715" spans="1:11" ht="15">
      <c r="A715" s="13">
        <v>63402</v>
      </c>
      <c r="B715" s="63">
        <f>12.1086 * CHOOSE(CONTROL!$C$22, $C$13, 100%, $E$13)</f>
        <v>12.108599999999999</v>
      </c>
      <c r="C715" s="63">
        <f>12.1086 * CHOOSE(CONTROL!$C$22, $C$13, 100%, $E$13)</f>
        <v>12.108599999999999</v>
      </c>
      <c r="D715" s="63">
        <f>12.1485 * CHOOSE(CONTROL!$C$22, $C$13, 100%, $E$13)</f>
        <v>12.1485</v>
      </c>
      <c r="E715" s="64">
        <f>14.1791 * CHOOSE(CONTROL!$C$22, $C$13, 100%, $E$13)</f>
        <v>14.1791</v>
      </c>
      <c r="F715" s="64">
        <f>14.1791 * CHOOSE(CONTROL!$C$22, $C$13, 100%, $E$13)</f>
        <v>14.1791</v>
      </c>
      <c r="G715" s="64">
        <f>14.1815 * CHOOSE(CONTROL!$C$22, $C$13, 100%, $E$13)</f>
        <v>14.1815</v>
      </c>
      <c r="H715" s="64">
        <f>23.3202* CHOOSE(CONTROL!$C$22, $C$13, 100%, $E$13)</f>
        <v>23.3202</v>
      </c>
      <c r="I715" s="64">
        <f>23.3226 * CHOOSE(CONTROL!$C$22, $C$13, 100%, $E$13)</f>
        <v>23.322600000000001</v>
      </c>
      <c r="J715" s="64">
        <f>14.1791 * CHOOSE(CONTROL!$C$22, $C$13, 100%, $E$13)</f>
        <v>14.1791</v>
      </c>
      <c r="K715" s="64">
        <f>14.1815 * CHOOSE(CONTROL!$C$22, $C$13, 100%, $E$13)</f>
        <v>14.1815</v>
      </c>
    </row>
    <row r="716" spans="1:11" ht="15">
      <c r="A716" s="13">
        <v>63433</v>
      </c>
      <c r="B716" s="63">
        <f>12.1055 * CHOOSE(CONTROL!$C$22, $C$13, 100%, $E$13)</f>
        <v>12.105499999999999</v>
      </c>
      <c r="C716" s="63">
        <f>12.1055 * CHOOSE(CONTROL!$C$22, $C$13, 100%, $E$13)</f>
        <v>12.105499999999999</v>
      </c>
      <c r="D716" s="63">
        <f>12.1454 * CHOOSE(CONTROL!$C$22, $C$13, 100%, $E$13)</f>
        <v>12.1454</v>
      </c>
      <c r="E716" s="64">
        <f>14.1608 * CHOOSE(CONTROL!$C$22, $C$13, 100%, $E$13)</f>
        <v>14.1608</v>
      </c>
      <c r="F716" s="64">
        <f>14.1608 * CHOOSE(CONTROL!$C$22, $C$13, 100%, $E$13)</f>
        <v>14.1608</v>
      </c>
      <c r="G716" s="64">
        <f>14.1633 * CHOOSE(CONTROL!$C$22, $C$13, 100%, $E$13)</f>
        <v>14.1633</v>
      </c>
      <c r="H716" s="64">
        <f>23.3687* CHOOSE(CONTROL!$C$22, $C$13, 100%, $E$13)</f>
        <v>23.3687</v>
      </c>
      <c r="I716" s="64">
        <f>23.3712 * CHOOSE(CONTROL!$C$22, $C$13, 100%, $E$13)</f>
        <v>23.371200000000002</v>
      </c>
      <c r="J716" s="64">
        <f>14.1608 * CHOOSE(CONTROL!$C$22, $C$13, 100%, $E$13)</f>
        <v>14.1608</v>
      </c>
      <c r="K716" s="64">
        <f>14.1633 * CHOOSE(CONTROL!$C$22, $C$13, 100%, $E$13)</f>
        <v>14.1633</v>
      </c>
    </row>
    <row r="717" spans="1:11" ht="15">
      <c r="A717" s="13">
        <v>63463</v>
      </c>
      <c r="B717" s="63">
        <f>12.1273 * CHOOSE(CONTROL!$C$22, $C$13, 100%, $E$13)</f>
        <v>12.1273</v>
      </c>
      <c r="C717" s="63">
        <f>12.1273 * CHOOSE(CONTROL!$C$22, $C$13, 100%, $E$13)</f>
        <v>12.1273</v>
      </c>
      <c r="D717" s="63">
        <f>12.1473 * CHOOSE(CONTROL!$C$22, $C$13, 100%, $E$13)</f>
        <v>12.1473</v>
      </c>
      <c r="E717" s="64">
        <f>14.212 * CHOOSE(CONTROL!$C$22, $C$13, 100%, $E$13)</f>
        <v>14.212</v>
      </c>
      <c r="F717" s="64">
        <f>14.212 * CHOOSE(CONTROL!$C$22, $C$13, 100%, $E$13)</f>
        <v>14.212</v>
      </c>
      <c r="G717" s="64">
        <f>14.2122 * CHOOSE(CONTROL!$C$22, $C$13, 100%, $E$13)</f>
        <v>14.212199999999999</v>
      </c>
      <c r="H717" s="64">
        <f>23.4174* CHOOSE(CONTROL!$C$22, $C$13, 100%, $E$13)</f>
        <v>23.417400000000001</v>
      </c>
      <c r="I717" s="64">
        <f>23.4176 * CHOOSE(CONTROL!$C$22, $C$13, 100%, $E$13)</f>
        <v>23.4176</v>
      </c>
      <c r="J717" s="64">
        <f>14.212 * CHOOSE(CONTROL!$C$22, $C$13, 100%, $E$13)</f>
        <v>14.212</v>
      </c>
      <c r="K717" s="64">
        <f>14.2122 * CHOOSE(CONTROL!$C$22, $C$13, 100%, $E$13)</f>
        <v>14.212199999999999</v>
      </c>
    </row>
    <row r="718" spans="1:11" ht="15">
      <c r="A718" s="13">
        <v>63494</v>
      </c>
      <c r="B718" s="63">
        <f>12.1304 * CHOOSE(CONTROL!$C$22, $C$13, 100%, $E$13)</f>
        <v>12.1304</v>
      </c>
      <c r="C718" s="63">
        <f>12.1304 * CHOOSE(CONTROL!$C$22, $C$13, 100%, $E$13)</f>
        <v>12.1304</v>
      </c>
      <c r="D718" s="63">
        <f>12.1503 * CHOOSE(CONTROL!$C$22, $C$13, 100%, $E$13)</f>
        <v>12.1503</v>
      </c>
      <c r="E718" s="64">
        <f>14.2465 * CHOOSE(CONTROL!$C$22, $C$13, 100%, $E$13)</f>
        <v>14.246499999999999</v>
      </c>
      <c r="F718" s="64">
        <f>14.2465 * CHOOSE(CONTROL!$C$22, $C$13, 100%, $E$13)</f>
        <v>14.246499999999999</v>
      </c>
      <c r="G718" s="64">
        <f>14.2467 * CHOOSE(CONTROL!$C$22, $C$13, 100%, $E$13)</f>
        <v>14.246700000000001</v>
      </c>
      <c r="H718" s="64">
        <f>23.4662* CHOOSE(CONTROL!$C$22, $C$13, 100%, $E$13)</f>
        <v>23.466200000000001</v>
      </c>
      <c r="I718" s="64">
        <f>23.4664 * CHOOSE(CONTROL!$C$22, $C$13, 100%, $E$13)</f>
        <v>23.4664</v>
      </c>
      <c r="J718" s="64">
        <f>14.2465 * CHOOSE(CONTROL!$C$22, $C$13, 100%, $E$13)</f>
        <v>14.246499999999999</v>
      </c>
      <c r="K718" s="64">
        <f>14.2467 * CHOOSE(CONTROL!$C$22, $C$13, 100%, $E$13)</f>
        <v>14.246700000000001</v>
      </c>
    </row>
    <row r="719" spans="1:11" ht="15">
      <c r="A719" s="13">
        <v>63524</v>
      </c>
      <c r="B719" s="63">
        <f>12.1304 * CHOOSE(CONTROL!$C$22, $C$13, 100%, $E$13)</f>
        <v>12.1304</v>
      </c>
      <c r="C719" s="63">
        <f>12.1304 * CHOOSE(CONTROL!$C$22, $C$13, 100%, $E$13)</f>
        <v>12.1304</v>
      </c>
      <c r="D719" s="63">
        <f>12.1503 * CHOOSE(CONTROL!$C$22, $C$13, 100%, $E$13)</f>
        <v>12.1503</v>
      </c>
      <c r="E719" s="64">
        <f>14.1657 * CHOOSE(CONTROL!$C$22, $C$13, 100%, $E$13)</f>
        <v>14.165699999999999</v>
      </c>
      <c r="F719" s="64">
        <f>14.1657 * CHOOSE(CONTROL!$C$22, $C$13, 100%, $E$13)</f>
        <v>14.165699999999999</v>
      </c>
      <c r="G719" s="64">
        <f>14.1659 * CHOOSE(CONTROL!$C$22, $C$13, 100%, $E$13)</f>
        <v>14.165900000000001</v>
      </c>
      <c r="H719" s="64">
        <f>23.5151* CHOOSE(CONTROL!$C$22, $C$13, 100%, $E$13)</f>
        <v>23.5151</v>
      </c>
      <c r="I719" s="64">
        <f>23.5153 * CHOOSE(CONTROL!$C$22, $C$13, 100%, $E$13)</f>
        <v>23.5153</v>
      </c>
      <c r="J719" s="64">
        <f>14.1657 * CHOOSE(CONTROL!$C$22, $C$13, 100%, $E$13)</f>
        <v>14.165699999999999</v>
      </c>
      <c r="K719" s="64">
        <f>14.1659 * CHOOSE(CONTROL!$C$22, $C$13, 100%, $E$13)</f>
        <v>14.165900000000001</v>
      </c>
    </row>
    <row r="720" spans="1:11" ht="15">
      <c r="A720" s="13">
        <v>63555</v>
      </c>
      <c r="B720" s="63">
        <f>12.1543 * CHOOSE(CONTROL!$C$22, $C$13, 100%, $E$13)</f>
        <v>12.154299999999999</v>
      </c>
      <c r="C720" s="63">
        <f>12.1543 * CHOOSE(CONTROL!$C$22, $C$13, 100%, $E$13)</f>
        <v>12.154299999999999</v>
      </c>
      <c r="D720" s="63">
        <f>12.1742 * CHOOSE(CONTROL!$C$22, $C$13, 100%, $E$13)</f>
        <v>12.174200000000001</v>
      </c>
      <c r="E720" s="64">
        <f>14.2504 * CHOOSE(CONTROL!$C$22, $C$13, 100%, $E$13)</f>
        <v>14.250400000000001</v>
      </c>
      <c r="F720" s="64">
        <f>14.2504 * CHOOSE(CONTROL!$C$22, $C$13, 100%, $E$13)</f>
        <v>14.250400000000001</v>
      </c>
      <c r="G720" s="64">
        <f>14.2505 * CHOOSE(CONTROL!$C$22, $C$13, 100%, $E$13)</f>
        <v>14.250500000000001</v>
      </c>
      <c r="H720" s="64">
        <f>23.4288* CHOOSE(CONTROL!$C$22, $C$13, 100%, $E$13)</f>
        <v>23.428799999999999</v>
      </c>
      <c r="I720" s="64">
        <f>23.429 * CHOOSE(CONTROL!$C$22, $C$13, 100%, $E$13)</f>
        <v>23.428999999999998</v>
      </c>
      <c r="J720" s="64">
        <f>14.2504 * CHOOSE(CONTROL!$C$22, $C$13, 100%, $E$13)</f>
        <v>14.250400000000001</v>
      </c>
      <c r="K720" s="64">
        <f>14.2505 * CHOOSE(CONTROL!$C$22, $C$13, 100%, $E$13)</f>
        <v>14.250500000000001</v>
      </c>
    </row>
    <row r="721" spans="1:11" ht="15">
      <c r="A721" s="13">
        <v>63586</v>
      </c>
      <c r="B721" s="63">
        <f>12.1512 * CHOOSE(CONTROL!$C$22, $C$13, 100%, $E$13)</f>
        <v>12.151199999999999</v>
      </c>
      <c r="C721" s="63">
        <f>12.1512 * CHOOSE(CONTROL!$C$22, $C$13, 100%, $E$13)</f>
        <v>12.151199999999999</v>
      </c>
      <c r="D721" s="63">
        <f>12.1712 * CHOOSE(CONTROL!$C$22, $C$13, 100%, $E$13)</f>
        <v>12.171200000000001</v>
      </c>
      <c r="E721" s="64">
        <f>14.0923 * CHOOSE(CONTROL!$C$22, $C$13, 100%, $E$13)</f>
        <v>14.0923</v>
      </c>
      <c r="F721" s="64">
        <f>14.0923 * CHOOSE(CONTROL!$C$22, $C$13, 100%, $E$13)</f>
        <v>14.0923</v>
      </c>
      <c r="G721" s="64">
        <f>14.0925 * CHOOSE(CONTROL!$C$22, $C$13, 100%, $E$13)</f>
        <v>14.092499999999999</v>
      </c>
      <c r="H721" s="64">
        <f>23.4776* CHOOSE(CONTROL!$C$22, $C$13, 100%, $E$13)</f>
        <v>23.477599999999999</v>
      </c>
      <c r="I721" s="64">
        <f>23.4778 * CHOOSE(CONTROL!$C$22, $C$13, 100%, $E$13)</f>
        <v>23.477799999999998</v>
      </c>
      <c r="J721" s="64">
        <f>14.0923 * CHOOSE(CONTROL!$C$22, $C$13, 100%, $E$13)</f>
        <v>14.0923</v>
      </c>
      <c r="K721" s="64">
        <f>14.0925 * CHOOSE(CONTROL!$C$22, $C$13, 100%, $E$13)</f>
        <v>14.092499999999999</v>
      </c>
    </row>
    <row r="722" spans="1:11" ht="15">
      <c r="A722" s="13">
        <v>63614</v>
      </c>
      <c r="B722" s="63">
        <f>12.1482 * CHOOSE(CONTROL!$C$22, $C$13, 100%, $E$13)</f>
        <v>12.148199999999999</v>
      </c>
      <c r="C722" s="63">
        <f>12.1482 * CHOOSE(CONTROL!$C$22, $C$13, 100%, $E$13)</f>
        <v>12.148199999999999</v>
      </c>
      <c r="D722" s="63">
        <f>12.1681 * CHOOSE(CONTROL!$C$22, $C$13, 100%, $E$13)</f>
        <v>12.168100000000001</v>
      </c>
      <c r="E722" s="64">
        <f>14.2131 * CHOOSE(CONTROL!$C$22, $C$13, 100%, $E$13)</f>
        <v>14.213100000000001</v>
      </c>
      <c r="F722" s="64">
        <f>14.2131 * CHOOSE(CONTROL!$C$22, $C$13, 100%, $E$13)</f>
        <v>14.213100000000001</v>
      </c>
      <c r="G722" s="64">
        <f>14.2133 * CHOOSE(CONTROL!$C$22, $C$13, 100%, $E$13)</f>
        <v>14.2133</v>
      </c>
      <c r="H722" s="64">
        <f>23.5265* CHOOSE(CONTROL!$C$22, $C$13, 100%, $E$13)</f>
        <v>23.526499999999999</v>
      </c>
      <c r="I722" s="64">
        <f>23.5267 * CHOOSE(CONTROL!$C$22, $C$13, 100%, $E$13)</f>
        <v>23.526700000000002</v>
      </c>
      <c r="J722" s="64">
        <f>14.2131 * CHOOSE(CONTROL!$C$22, $C$13, 100%, $E$13)</f>
        <v>14.213100000000001</v>
      </c>
      <c r="K722" s="64">
        <f>14.2133 * CHOOSE(CONTROL!$C$22, $C$13, 100%, $E$13)</f>
        <v>14.2133</v>
      </c>
    </row>
    <row r="723" spans="1:11" ht="15">
      <c r="A723" s="13">
        <v>63645</v>
      </c>
      <c r="B723" s="63">
        <f>12.1528 * CHOOSE(CONTROL!$C$22, $C$13, 100%, $E$13)</f>
        <v>12.152799999999999</v>
      </c>
      <c r="C723" s="63">
        <f>12.1528 * CHOOSE(CONTROL!$C$22, $C$13, 100%, $E$13)</f>
        <v>12.152799999999999</v>
      </c>
      <c r="D723" s="63">
        <f>12.1728 * CHOOSE(CONTROL!$C$22, $C$13, 100%, $E$13)</f>
        <v>12.172800000000001</v>
      </c>
      <c r="E723" s="64">
        <f>14.3409 * CHOOSE(CONTROL!$C$22, $C$13, 100%, $E$13)</f>
        <v>14.3409</v>
      </c>
      <c r="F723" s="64">
        <f>14.3409 * CHOOSE(CONTROL!$C$22, $C$13, 100%, $E$13)</f>
        <v>14.3409</v>
      </c>
      <c r="G723" s="64">
        <f>14.3411 * CHOOSE(CONTROL!$C$22, $C$13, 100%, $E$13)</f>
        <v>14.341100000000001</v>
      </c>
      <c r="H723" s="64">
        <f>23.5755* CHOOSE(CONTROL!$C$22, $C$13, 100%, $E$13)</f>
        <v>23.575500000000002</v>
      </c>
      <c r="I723" s="64">
        <f>23.5757 * CHOOSE(CONTROL!$C$22, $C$13, 100%, $E$13)</f>
        <v>23.575700000000001</v>
      </c>
      <c r="J723" s="64">
        <f>14.3409 * CHOOSE(CONTROL!$C$22, $C$13, 100%, $E$13)</f>
        <v>14.3409</v>
      </c>
      <c r="K723" s="64">
        <f>14.3411 * CHOOSE(CONTROL!$C$22, $C$13, 100%, $E$13)</f>
        <v>14.341100000000001</v>
      </c>
    </row>
    <row r="724" spans="1:11" ht="15">
      <c r="A724" s="13">
        <v>63675</v>
      </c>
      <c r="B724" s="63">
        <f>12.1528 * CHOOSE(CONTROL!$C$22, $C$13, 100%, $E$13)</f>
        <v>12.152799999999999</v>
      </c>
      <c r="C724" s="63">
        <f>12.1528 * CHOOSE(CONTROL!$C$22, $C$13, 100%, $E$13)</f>
        <v>12.152799999999999</v>
      </c>
      <c r="D724" s="63">
        <f>12.1928 * CHOOSE(CONTROL!$C$22, $C$13, 100%, $E$13)</f>
        <v>12.1928</v>
      </c>
      <c r="E724" s="64">
        <f>14.3904 * CHOOSE(CONTROL!$C$22, $C$13, 100%, $E$13)</f>
        <v>14.3904</v>
      </c>
      <c r="F724" s="64">
        <f>14.3904 * CHOOSE(CONTROL!$C$22, $C$13, 100%, $E$13)</f>
        <v>14.3904</v>
      </c>
      <c r="G724" s="64">
        <f>14.3928 * CHOOSE(CONTROL!$C$22, $C$13, 100%, $E$13)</f>
        <v>14.392799999999999</v>
      </c>
      <c r="H724" s="64">
        <f>23.6246* CHOOSE(CONTROL!$C$22, $C$13, 100%, $E$13)</f>
        <v>23.624600000000001</v>
      </c>
      <c r="I724" s="64">
        <f>23.6271 * CHOOSE(CONTROL!$C$22, $C$13, 100%, $E$13)</f>
        <v>23.627099999999999</v>
      </c>
      <c r="J724" s="64">
        <f>14.3904 * CHOOSE(CONTROL!$C$22, $C$13, 100%, $E$13)</f>
        <v>14.3904</v>
      </c>
      <c r="K724" s="64">
        <f>14.3928 * CHOOSE(CONTROL!$C$22, $C$13, 100%, $E$13)</f>
        <v>14.392799999999999</v>
      </c>
    </row>
    <row r="725" spans="1:11" ht="15">
      <c r="A725" s="13">
        <v>63706</v>
      </c>
      <c r="B725" s="63">
        <f>12.1589 * CHOOSE(CONTROL!$C$22, $C$13, 100%, $E$13)</f>
        <v>12.158899999999999</v>
      </c>
      <c r="C725" s="63">
        <f>12.1589 * CHOOSE(CONTROL!$C$22, $C$13, 100%, $E$13)</f>
        <v>12.158899999999999</v>
      </c>
      <c r="D725" s="63">
        <f>12.1988 * CHOOSE(CONTROL!$C$22, $C$13, 100%, $E$13)</f>
        <v>12.1988</v>
      </c>
      <c r="E725" s="64">
        <f>14.3451 * CHOOSE(CONTROL!$C$22, $C$13, 100%, $E$13)</f>
        <v>14.3451</v>
      </c>
      <c r="F725" s="64">
        <f>14.3451 * CHOOSE(CONTROL!$C$22, $C$13, 100%, $E$13)</f>
        <v>14.3451</v>
      </c>
      <c r="G725" s="64">
        <f>14.3476 * CHOOSE(CONTROL!$C$22, $C$13, 100%, $E$13)</f>
        <v>14.3476</v>
      </c>
      <c r="H725" s="64">
        <f>23.6739* CHOOSE(CONTROL!$C$22, $C$13, 100%, $E$13)</f>
        <v>23.6739</v>
      </c>
      <c r="I725" s="64">
        <f>23.6763 * CHOOSE(CONTROL!$C$22, $C$13, 100%, $E$13)</f>
        <v>23.676300000000001</v>
      </c>
      <c r="J725" s="64">
        <f>14.3451 * CHOOSE(CONTROL!$C$22, $C$13, 100%, $E$13)</f>
        <v>14.3451</v>
      </c>
      <c r="K725" s="64">
        <f>14.3476 * CHOOSE(CONTROL!$C$22, $C$13, 100%, $E$13)</f>
        <v>14.3476</v>
      </c>
    </row>
    <row r="726" spans="1:11" ht="15">
      <c r="A726" s="13">
        <v>63736</v>
      </c>
      <c r="B726" s="63">
        <f>12.3511 * CHOOSE(CONTROL!$C$22, $C$13, 100%, $E$13)</f>
        <v>12.351100000000001</v>
      </c>
      <c r="C726" s="63">
        <f>12.3511 * CHOOSE(CONTROL!$C$22, $C$13, 100%, $E$13)</f>
        <v>12.351100000000001</v>
      </c>
      <c r="D726" s="63">
        <f>12.391 * CHOOSE(CONTROL!$C$22, $C$13, 100%, $E$13)</f>
        <v>12.391</v>
      </c>
      <c r="E726" s="64">
        <f>14.6198 * CHOOSE(CONTROL!$C$22, $C$13, 100%, $E$13)</f>
        <v>14.6198</v>
      </c>
      <c r="F726" s="64">
        <f>14.6198 * CHOOSE(CONTROL!$C$22, $C$13, 100%, $E$13)</f>
        <v>14.6198</v>
      </c>
      <c r="G726" s="64">
        <f>14.6222 * CHOOSE(CONTROL!$C$22, $C$13, 100%, $E$13)</f>
        <v>14.622199999999999</v>
      </c>
      <c r="H726" s="64">
        <f>23.7232* CHOOSE(CONTROL!$C$22, $C$13, 100%, $E$13)</f>
        <v>23.723199999999999</v>
      </c>
      <c r="I726" s="64">
        <f>23.7256 * CHOOSE(CONTROL!$C$22, $C$13, 100%, $E$13)</f>
        <v>23.7256</v>
      </c>
      <c r="J726" s="64">
        <f>14.6198 * CHOOSE(CONTROL!$C$22, $C$13, 100%, $E$13)</f>
        <v>14.6198</v>
      </c>
      <c r="K726" s="64">
        <f>14.6222 * CHOOSE(CONTROL!$C$22, $C$13, 100%, $E$13)</f>
        <v>14.622199999999999</v>
      </c>
    </row>
    <row r="727" spans="1:11" ht="15">
      <c r="A727" s="13">
        <v>63767</v>
      </c>
      <c r="B727" s="63">
        <f>12.3578 * CHOOSE(CONTROL!$C$22, $C$13, 100%, $E$13)</f>
        <v>12.357799999999999</v>
      </c>
      <c r="C727" s="63">
        <f>12.3578 * CHOOSE(CONTROL!$C$22, $C$13, 100%, $E$13)</f>
        <v>12.357799999999999</v>
      </c>
      <c r="D727" s="63">
        <f>12.3977 * CHOOSE(CONTROL!$C$22, $C$13, 100%, $E$13)</f>
        <v>12.3977</v>
      </c>
      <c r="E727" s="64">
        <f>14.4759 * CHOOSE(CONTROL!$C$22, $C$13, 100%, $E$13)</f>
        <v>14.475899999999999</v>
      </c>
      <c r="F727" s="64">
        <f>14.4759 * CHOOSE(CONTROL!$C$22, $C$13, 100%, $E$13)</f>
        <v>14.475899999999999</v>
      </c>
      <c r="G727" s="64">
        <f>14.4784 * CHOOSE(CONTROL!$C$22, $C$13, 100%, $E$13)</f>
        <v>14.478400000000001</v>
      </c>
      <c r="H727" s="64">
        <f>23.7726* CHOOSE(CONTROL!$C$22, $C$13, 100%, $E$13)</f>
        <v>23.772600000000001</v>
      </c>
      <c r="I727" s="64">
        <f>23.775 * CHOOSE(CONTROL!$C$22, $C$13, 100%, $E$13)</f>
        <v>23.774999999999999</v>
      </c>
      <c r="J727" s="64">
        <f>14.4759 * CHOOSE(CONTROL!$C$22, $C$13, 100%, $E$13)</f>
        <v>14.475899999999999</v>
      </c>
      <c r="K727" s="64">
        <f>14.4784 * CHOOSE(CONTROL!$C$22, $C$13, 100%, $E$13)</f>
        <v>14.478400000000001</v>
      </c>
    </row>
    <row r="728" spans="1:11" ht="15">
      <c r="A728" s="13">
        <v>63798</v>
      </c>
      <c r="B728" s="63">
        <f>12.3547 * CHOOSE(CONTROL!$C$22, $C$13, 100%, $E$13)</f>
        <v>12.354699999999999</v>
      </c>
      <c r="C728" s="63">
        <f>12.3547 * CHOOSE(CONTROL!$C$22, $C$13, 100%, $E$13)</f>
        <v>12.354699999999999</v>
      </c>
      <c r="D728" s="63">
        <f>12.3947 * CHOOSE(CONTROL!$C$22, $C$13, 100%, $E$13)</f>
        <v>12.3947</v>
      </c>
      <c r="E728" s="64">
        <f>14.4573 * CHOOSE(CONTROL!$C$22, $C$13, 100%, $E$13)</f>
        <v>14.4573</v>
      </c>
      <c r="F728" s="64">
        <f>14.4573 * CHOOSE(CONTROL!$C$22, $C$13, 100%, $E$13)</f>
        <v>14.4573</v>
      </c>
      <c r="G728" s="64">
        <f>14.4597 * CHOOSE(CONTROL!$C$22, $C$13, 100%, $E$13)</f>
        <v>14.4597</v>
      </c>
      <c r="H728" s="64">
        <f>23.8221* CHOOSE(CONTROL!$C$22, $C$13, 100%, $E$13)</f>
        <v>23.822099999999999</v>
      </c>
      <c r="I728" s="64">
        <f>23.8246 * CHOOSE(CONTROL!$C$22, $C$13, 100%, $E$13)</f>
        <v>23.8246</v>
      </c>
      <c r="J728" s="64">
        <f>14.4573 * CHOOSE(CONTROL!$C$22, $C$13, 100%, $E$13)</f>
        <v>14.4573</v>
      </c>
      <c r="K728" s="64">
        <f>14.4597 * CHOOSE(CONTROL!$C$22, $C$13, 100%, $E$13)</f>
        <v>14.4597</v>
      </c>
    </row>
    <row r="729" spans="1:11" ht="15">
      <c r="A729" s="13">
        <v>63828</v>
      </c>
      <c r="B729" s="63">
        <f>12.3773 * CHOOSE(CONTROL!$C$22, $C$13, 100%, $E$13)</f>
        <v>12.3773</v>
      </c>
      <c r="C729" s="63">
        <f>12.3773 * CHOOSE(CONTROL!$C$22, $C$13, 100%, $E$13)</f>
        <v>12.3773</v>
      </c>
      <c r="D729" s="63">
        <f>12.3973 * CHOOSE(CONTROL!$C$22, $C$13, 100%, $E$13)</f>
        <v>12.3973</v>
      </c>
      <c r="E729" s="64">
        <f>14.5099 * CHOOSE(CONTROL!$C$22, $C$13, 100%, $E$13)</f>
        <v>14.5099</v>
      </c>
      <c r="F729" s="64">
        <f>14.5099 * CHOOSE(CONTROL!$C$22, $C$13, 100%, $E$13)</f>
        <v>14.5099</v>
      </c>
      <c r="G729" s="64">
        <f>14.5101 * CHOOSE(CONTROL!$C$22, $C$13, 100%, $E$13)</f>
        <v>14.5101</v>
      </c>
      <c r="H729" s="64">
        <f>23.8718* CHOOSE(CONTROL!$C$22, $C$13, 100%, $E$13)</f>
        <v>23.8718</v>
      </c>
      <c r="I729" s="64">
        <f>23.8719 * CHOOSE(CONTROL!$C$22, $C$13, 100%, $E$13)</f>
        <v>23.8719</v>
      </c>
      <c r="J729" s="64">
        <f>14.5099 * CHOOSE(CONTROL!$C$22, $C$13, 100%, $E$13)</f>
        <v>14.5099</v>
      </c>
      <c r="K729" s="64">
        <f>14.5101 * CHOOSE(CONTROL!$C$22, $C$13, 100%, $E$13)</f>
        <v>14.5101</v>
      </c>
    </row>
    <row r="730" spans="1:11" ht="15">
      <c r="A730" s="13">
        <v>63859</v>
      </c>
      <c r="B730" s="63">
        <f>12.3804 * CHOOSE(CONTROL!$C$22, $C$13, 100%, $E$13)</f>
        <v>12.3804</v>
      </c>
      <c r="C730" s="63">
        <f>12.3804 * CHOOSE(CONTROL!$C$22, $C$13, 100%, $E$13)</f>
        <v>12.3804</v>
      </c>
      <c r="D730" s="63">
        <f>12.4003 * CHOOSE(CONTROL!$C$22, $C$13, 100%, $E$13)</f>
        <v>12.4003</v>
      </c>
      <c r="E730" s="64">
        <f>14.545 * CHOOSE(CONTROL!$C$22, $C$13, 100%, $E$13)</f>
        <v>14.545</v>
      </c>
      <c r="F730" s="64">
        <f>14.545 * CHOOSE(CONTROL!$C$22, $C$13, 100%, $E$13)</f>
        <v>14.545</v>
      </c>
      <c r="G730" s="64">
        <f>14.5452 * CHOOSE(CONTROL!$C$22, $C$13, 100%, $E$13)</f>
        <v>14.545199999999999</v>
      </c>
      <c r="H730" s="64">
        <f>23.9215* CHOOSE(CONTROL!$C$22, $C$13, 100%, $E$13)</f>
        <v>23.921500000000002</v>
      </c>
      <c r="I730" s="64">
        <f>23.9217 * CHOOSE(CONTROL!$C$22, $C$13, 100%, $E$13)</f>
        <v>23.921700000000001</v>
      </c>
      <c r="J730" s="64">
        <f>14.545 * CHOOSE(CONTROL!$C$22, $C$13, 100%, $E$13)</f>
        <v>14.545</v>
      </c>
      <c r="K730" s="64">
        <f>14.5452 * CHOOSE(CONTROL!$C$22, $C$13, 100%, $E$13)</f>
        <v>14.545199999999999</v>
      </c>
    </row>
    <row r="731" spans="1:11" ht="15">
      <c r="A731" s="13">
        <v>63889</v>
      </c>
      <c r="B731" s="63">
        <f>12.3804 * CHOOSE(CONTROL!$C$22, $C$13, 100%, $E$13)</f>
        <v>12.3804</v>
      </c>
      <c r="C731" s="63">
        <f>12.3804 * CHOOSE(CONTROL!$C$22, $C$13, 100%, $E$13)</f>
        <v>12.3804</v>
      </c>
      <c r="D731" s="63">
        <f>12.4003 * CHOOSE(CONTROL!$C$22, $C$13, 100%, $E$13)</f>
        <v>12.4003</v>
      </c>
      <c r="E731" s="64">
        <f>14.4625 * CHOOSE(CONTROL!$C$22, $C$13, 100%, $E$13)</f>
        <v>14.4625</v>
      </c>
      <c r="F731" s="64">
        <f>14.4625 * CHOOSE(CONTROL!$C$22, $C$13, 100%, $E$13)</f>
        <v>14.4625</v>
      </c>
      <c r="G731" s="64">
        <f>14.4627 * CHOOSE(CONTROL!$C$22, $C$13, 100%, $E$13)</f>
        <v>14.4627</v>
      </c>
      <c r="H731" s="64">
        <f>23.9713* CHOOSE(CONTROL!$C$22, $C$13, 100%, $E$13)</f>
        <v>23.971299999999999</v>
      </c>
      <c r="I731" s="64">
        <f>23.9715 * CHOOSE(CONTROL!$C$22, $C$13, 100%, $E$13)</f>
        <v>23.971499999999999</v>
      </c>
      <c r="J731" s="64">
        <f>14.4625 * CHOOSE(CONTROL!$C$22, $C$13, 100%, $E$13)</f>
        <v>14.4625</v>
      </c>
      <c r="K731" s="64">
        <f>14.4627 * CHOOSE(CONTROL!$C$22, $C$13, 100%, $E$13)</f>
        <v>14.4627</v>
      </c>
    </row>
    <row r="732" spans="1:11" ht="15">
      <c r="A732" s="13">
        <v>63920</v>
      </c>
      <c r="B732" s="63">
        <f>12.3996 * CHOOSE(CONTROL!$C$22, $C$13, 100%, $E$13)</f>
        <v>12.3996</v>
      </c>
      <c r="C732" s="63">
        <f>12.3996 * CHOOSE(CONTROL!$C$22, $C$13, 100%, $E$13)</f>
        <v>12.3996</v>
      </c>
      <c r="D732" s="63">
        <f>12.4195 * CHOOSE(CONTROL!$C$22, $C$13, 100%, $E$13)</f>
        <v>12.419499999999999</v>
      </c>
      <c r="E732" s="64">
        <f>14.5428 * CHOOSE(CONTROL!$C$22, $C$13, 100%, $E$13)</f>
        <v>14.5428</v>
      </c>
      <c r="F732" s="64">
        <f>14.5428 * CHOOSE(CONTROL!$C$22, $C$13, 100%, $E$13)</f>
        <v>14.5428</v>
      </c>
      <c r="G732" s="64">
        <f>14.543 * CHOOSE(CONTROL!$C$22, $C$13, 100%, $E$13)</f>
        <v>14.542999999999999</v>
      </c>
      <c r="H732" s="64">
        <f>23.8747* CHOOSE(CONTROL!$C$22, $C$13, 100%, $E$13)</f>
        <v>23.874700000000001</v>
      </c>
      <c r="I732" s="64">
        <f>23.8749 * CHOOSE(CONTROL!$C$22, $C$13, 100%, $E$13)</f>
        <v>23.8749</v>
      </c>
      <c r="J732" s="64">
        <f>14.5428 * CHOOSE(CONTROL!$C$22, $C$13, 100%, $E$13)</f>
        <v>14.5428</v>
      </c>
      <c r="K732" s="64">
        <f>14.543 * CHOOSE(CONTROL!$C$22, $C$13, 100%, $E$13)</f>
        <v>14.542999999999999</v>
      </c>
    </row>
    <row r="733" spans="1:11" ht="15">
      <c r="A733" s="13">
        <v>63951</v>
      </c>
      <c r="B733" s="63">
        <f>12.3965 * CHOOSE(CONTROL!$C$22, $C$13, 100%, $E$13)</f>
        <v>12.3965</v>
      </c>
      <c r="C733" s="63">
        <f>12.3965 * CHOOSE(CONTROL!$C$22, $C$13, 100%, $E$13)</f>
        <v>12.3965</v>
      </c>
      <c r="D733" s="63">
        <f>12.4165 * CHOOSE(CONTROL!$C$22, $C$13, 100%, $E$13)</f>
        <v>12.416499999999999</v>
      </c>
      <c r="E733" s="64">
        <f>14.3815 * CHOOSE(CONTROL!$C$22, $C$13, 100%, $E$13)</f>
        <v>14.381500000000001</v>
      </c>
      <c r="F733" s="64">
        <f>14.3815 * CHOOSE(CONTROL!$C$22, $C$13, 100%, $E$13)</f>
        <v>14.381500000000001</v>
      </c>
      <c r="G733" s="64">
        <f>14.3817 * CHOOSE(CONTROL!$C$22, $C$13, 100%, $E$13)</f>
        <v>14.3817</v>
      </c>
      <c r="H733" s="64">
        <f>23.9244* CHOOSE(CONTROL!$C$22, $C$13, 100%, $E$13)</f>
        <v>23.924399999999999</v>
      </c>
      <c r="I733" s="64">
        <f>23.9246 * CHOOSE(CONTROL!$C$22, $C$13, 100%, $E$13)</f>
        <v>23.924600000000002</v>
      </c>
      <c r="J733" s="64">
        <f>14.3815 * CHOOSE(CONTROL!$C$22, $C$13, 100%, $E$13)</f>
        <v>14.381500000000001</v>
      </c>
      <c r="K733" s="64">
        <f>14.3817 * CHOOSE(CONTROL!$C$22, $C$13, 100%, $E$13)</f>
        <v>14.3817</v>
      </c>
    </row>
    <row r="734" spans="1:11" ht="15">
      <c r="A734" s="13">
        <v>63979</v>
      </c>
      <c r="B734" s="63">
        <f>12.3935 * CHOOSE(CONTROL!$C$22, $C$13, 100%, $E$13)</f>
        <v>12.3935</v>
      </c>
      <c r="C734" s="63">
        <f>12.3935 * CHOOSE(CONTROL!$C$22, $C$13, 100%, $E$13)</f>
        <v>12.3935</v>
      </c>
      <c r="D734" s="63">
        <f>12.4135 * CHOOSE(CONTROL!$C$22, $C$13, 100%, $E$13)</f>
        <v>12.413500000000001</v>
      </c>
      <c r="E734" s="64">
        <f>14.5049 * CHOOSE(CONTROL!$C$22, $C$13, 100%, $E$13)</f>
        <v>14.504899999999999</v>
      </c>
      <c r="F734" s="64">
        <f>14.5049 * CHOOSE(CONTROL!$C$22, $C$13, 100%, $E$13)</f>
        <v>14.504899999999999</v>
      </c>
      <c r="G734" s="64">
        <f>14.505 * CHOOSE(CONTROL!$C$22, $C$13, 100%, $E$13)</f>
        <v>14.505000000000001</v>
      </c>
      <c r="H734" s="64">
        <f>23.9743* CHOOSE(CONTROL!$C$22, $C$13, 100%, $E$13)</f>
        <v>23.974299999999999</v>
      </c>
      <c r="I734" s="64">
        <f>23.9744 * CHOOSE(CONTROL!$C$22, $C$13, 100%, $E$13)</f>
        <v>23.974399999999999</v>
      </c>
      <c r="J734" s="64">
        <f>14.5049 * CHOOSE(CONTROL!$C$22, $C$13, 100%, $E$13)</f>
        <v>14.504899999999999</v>
      </c>
      <c r="K734" s="64">
        <f>14.505 * CHOOSE(CONTROL!$C$22, $C$13, 100%, $E$13)</f>
        <v>14.505000000000001</v>
      </c>
    </row>
    <row r="735" spans="1:11" ht="15">
      <c r="A735" s="13">
        <v>64010</v>
      </c>
      <c r="B735" s="63">
        <f>12.3983 * CHOOSE(CONTROL!$C$22, $C$13, 100%, $E$13)</f>
        <v>12.398300000000001</v>
      </c>
      <c r="C735" s="63">
        <f>12.3983 * CHOOSE(CONTROL!$C$22, $C$13, 100%, $E$13)</f>
        <v>12.398300000000001</v>
      </c>
      <c r="D735" s="63">
        <f>12.4183 * CHOOSE(CONTROL!$C$22, $C$13, 100%, $E$13)</f>
        <v>12.4183</v>
      </c>
      <c r="E735" s="64">
        <f>14.6353 * CHOOSE(CONTROL!$C$22, $C$13, 100%, $E$13)</f>
        <v>14.635300000000001</v>
      </c>
      <c r="F735" s="64">
        <f>14.6353 * CHOOSE(CONTROL!$C$22, $C$13, 100%, $E$13)</f>
        <v>14.635300000000001</v>
      </c>
      <c r="G735" s="64">
        <f>14.6355 * CHOOSE(CONTROL!$C$22, $C$13, 100%, $E$13)</f>
        <v>14.6355</v>
      </c>
      <c r="H735" s="64">
        <f>24.0242* CHOOSE(CONTROL!$C$22, $C$13, 100%, $E$13)</f>
        <v>24.0242</v>
      </c>
      <c r="I735" s="64">
        <f>24.0244 * CHOOSE(CONTROL!$C$22, $C$13, 100%, $E$13)</f>
        <v>24.0244</v>
      </c>
      <c r="J735" s="64">
        <f>14.6353 * CHOOSE(CONTROL!$C$22, $C$13, 100%, $E$13)</f>
        <v>14.635300000000001</v>
      </c>
      <c r="K735" s="64">
        <f>14.6355 * CHOOSE(CONTROL!$C$22, $C$13, 100%, $E$13)</f>
        <v>14.6355</v>
      </c>
    </row>
    <row r="736" spans="1:11" ht="15">
      <c r="A736" s="13">
        <v>64040</v>
      </c>
      <c r="B736" s="63">
        <f>12.3983 * CHOOSE(CONTROL!$C$22, $C$13, 100%, $E$13)</f>
        <v>12.398300000000001</v>
      </c>
      <c r="C736" s="63">
        <f>12.3983 * CHOOSE(CONTROL!$C$22, $C$13, 100%, $E$13)</f>
        <v>12.398300000000001</v>
      </c>
      <c r="D736" s="63">
        <f>12.4383 * CHOOSE(CONTROL!$C$22, $C$13, 100%, $E$13)</f>
        <v>12.4383</v>
      </c>
      <c r="E736" s="64">
        <f>14.6859 * CHOOSE(CONTROL!$C$22, $C$13, 100%, $E$13)</f>
        <v>14.6859</v>
      </c>
      <c r="F736" s="64">
        <f>14.6859 * CHOOSE(CONTROL!$C$22, $C$13, 100%, $E$13)</f>
        <v>14.6859</v>
      </c>
      <c r="G736" s="64">
        <f>14.6883 * CHOOSE(CONTROL!$C$22, $C$13, 100%, $E$13)</f>
        <v>14.6883</v>
      </c>
      <c r="H736" s="64">
        <f>24.0743* CHOOSE(CONTROL!$C$22, $C$13, 100%, $E$13)</f>
        <v>24.074300000000001</v>
      </c>
      <c r="I736" s="64">
        <f>24.0767 * CHOOSE(CONTROL!$C$22, $C$13, 100%, $E$13)</f>
        <v>24.076699999999999</v>
      </c>
      <c r="J736" s="64">
        <f>14.6859 * CHOOSE(CONTROL!$C$22, $C$13, 100%, $E$13)</f>
        <v>14.6859</v>
      </c>
      <c r="K736" s="64">
        <f>14.6883 * CHOOSE(CONTROL!$C$22, $C$13, 100%, $E$13)</f>
        <v>14.6883</v>
      </c>
    </row>
    <row r="737" spans="1:11" ht="15">
      <c r="A737" s="13">
        <v>64071</v>
      </c>
      <c r="B737" s="63">
        <f>12.4044 * CHOOSE(CONTROL!$C$22, $C$13, 100%, $E$13)</f>
        <v>12.404400000000001</v>
      </c>
      <c r="C737" s="63">
        <f>12.4044 * CHOOSE(CONTROL!$C$22, $C$13, 100%, $E$13)</f>
        <v>12.404400000000001</v>
      </c>
      <c r="D737" s="63">
        <f>12.4444 * CHOOSE(CONTROL!$C$22, $C$13, 100%, $E$13)</f>
        <v>12.4444</v>
      </c>
      <c r="E737" s="64">
        <f>14.6396 * CHOOSE(CONTROL!$C$22, $C$13, 100%, $E$13)</f>
        <v>14.6396</v>
      </c>
      <c r="F737" s="64">
        <f>14.6396 * CHOOSE(CONTROL!$C$22, $C$13, 100%, $E$13)</f>
        <v>14.6396</v>
      </c>
      <c r="G737" s="64">
        <f>14.642 * CHOOSE(CONTROL!$C$22, $C$13, 100%, $E$13)</f>
        <v>14.641999999999999</v>
      </c>
      <c r="H737" s="64">
        <f>24.1244* CHOOSE(CONTROL!$C$22, $C$13, 100%, $E$13)</f>
        <v>24.124400000000001</v>
      </c>
      <c r="I737" s="64">
        <f>24.1269 * CHOOSE(CONTROL!$C$22, $C$13, 100%, $E$13)</f>
        <v>24.126899999999999</v>
      </c>
      <c r="J737" s="64">
        <f>14.6396 * CHOOSE(CONTROL!$C$22, $C$13, 100%, $E$13)</f>
        <v>14.6396</v>
      </c>
      <c r="K737" s="64">
        <f>14.642 * CHOOSE(CONTROL!$C$22, $C$13, 100%, $E$13)</f>
        <v>14.641999999999999</v>
      </c>
    </row>
    <row r="738" spans="1:11" ht="15">
      <c r="A738" s="13">
        <v>64101</v>
      </c>
      <c r="B738" s="63">
        <f>12.6003 * CHOOSE(CONTROL!$C$22, $C$13, 100%, $E$13)</f>
        <v>12.600300000000001</v>
      </c>
      <c r="C738" s="63">
        <f>12.6003 * CHOOSE(CONTROL!$C$22, $C$13, 100%, $E$13)</f>
        <v>12.600300000000001</v>
      </c>
      <c r="D738" s="63">
        <f>12.6402 * CHOOSE(CONTROL!$C$22, $C$13, 100%, $E$13)</f>
        <v>12.6402</v>
      </c>
      <c r="E738" s="64">
        <f>14.9196 * CHOOSE(CONTROL!$C$22, $C$13, 100%, $E$13)</f>
        <v>14.919600000000001</v>
      </c>
      <c r="F738" s="64">
        <f>14.9196 * CHOOSE(CONTROL!$C$22, $C$13, 100%, $E$13)</f>
        <v>14.919600000000001</v>
      </c>
      <c r="G738" s="64">
        <f>14.9221 * CHOOSE(CONTROL!$C$22, $C$13, 100%, $E$13)</f>
        <v>14.9221</v>
      </c>
      <c r="H738" s="64">
        <f>24.1747* CHOOSE(CONTROL!$C$22, $C$13, 100%, $E$13)</f>
        <v>24.174700000000001</v>
      </c>
      <c r="I738" s="64">
        <f>24.1771 * CHOOSE(CONTROL!$C$22, $C$13, 100%, $E$13)</f>
        <v>24.177099999999999</v>
      </c>
      <c r="J738" s="64">
        <f>14.9196 * CHOOSE(CONTROL!$C$22, $C$13, 100%, $E$13)</f>
        <v>14.919600000000001</v>
      </c>
      <c r="K738" s="64">
        <f>14.9221 * CHOOSE(CONTROL!$C$22, $C$13, 100%, $E$13)</f>
        <v>14.9221</v>
      </c>
    </row>
    <row r="739" spans="1:11" ht="15">
      <c r="A739" s="13">
        <v>64132</v>
      </c>
      <c r="B739" s="63">
        <f>12.607 * CHOOSE(CONTROL!$C$22, $C$13, 100%, $E$13)</f>
        <v>12.606999999999999</v>
      </c>
      <c r="C739" s="63">
        <f>12.607 * CHOOSE(CONTROL!$C$22, $C$13, 100%, $E$13)</f>
        <v>12.606999999999999</v>
      </c>
      <c r="D739" s="63">
        <f>12.6469 * CHOOSE(CONTROL!$C$22, $C$13, 100%, $E$13)</f>
        <v>12.6469</v>
      </c>
      <c r="E739" s="64">
        <f>14.7728 * CHOOSE(CONTROL!$C$22, $C$13, 100%, $E$13)</f>
        <v>14.7728</v>
      </c>
      <c r="F739" s="64">
        <f>14.7728 * CHOOSE(CONTROL!$C$22, $C$13, 100%, $E$13)</f>
        <v>14.7728</v>
      </c>
      <c r="G739" s="64">
        <f>14.7752 * CHOOSE(CONTROL!$C$22, $C$13, 100%, $E$13)</f>
        <v>14.7752</v>
      </c>
      <c r="H739" s="64">
        <f>24.225* CHOOSE(CONTROL!$C$22, $C$13, 100%, $E$13)</f>
        <v>24.225000000000001</v>
      </c>
      <c r="I739" s="64">
        <f>24.2275 * CHOOSE(CONTROL!$C$22, $C$13, 100%, $E$13)</f>
        <v>24.227499999999999</v>
      </c>
      <c r="J739" s="64">
        <f>14.7728 * CHOOSE(CONTROL!$C$22, $C$13, 100%, $E$13)</f>
        <v>14.7728</v>
      </c>
      <c r="K739" s="64">
        <f>14.7752 * CHOOSE(CONTROL!$C$22, $C$13, 100%, $E$13)</f>
        <v>14.7752</v>
      </c>
    </row>
    <row r="740" spans="1:11" ht="15">
      <c r="A740" s="13">
        <v>64163</v>
      </c>
      <c r="B740" s="63">
        <f>12.6039 * CHOOSE(CONTROL!$C$22, $C$13, 100%, $E$13)</f>
        <v>12.603899999999999</v>
      </c>
      <c r="C740" s="63">
        <f>12.6039 * CHOOSE(CONTROL!$C$22, $C$13, 100%, $E$13)</f>
        <v>12.603899999999999</v>
      </c>
      <c r="D740" s="63">
        <f>12.6439 * CHOOSE(CONTROL!$C$22, $C$13, 100%, $E$13)</f>
        <v>12.6439</v>
      </c>
      <c r="E740" s="64">
        <f>14.7538 * CHOOSE(CONTROL!$C$22, $C$13, 100%, $E$13)</f>
        <v>14.7538</v>
      </c>
      <c r="F740" s="64">
        <f>14.7538 * CHOOSE(CONTROL!$C$22, $C$13, 100%, $E$13)</f>
        <v>14.7538</v>
      </c>
      <c r="G740" s="64">
        <f>14.7562 * CHOOSE(CONTROL!$C$22, $C$13, 100%, $E$13)</f>
        <v>14.7562</v>
      </c>
      <c r="H740" s="64">
        <f>24.2755* CHOOSE(CONTROL!$C$22, $C$13, 100%, $E$13)</f>
        <v>24.275500000000001</v>
      </c>
      <c r="I740" s="64">
        <f>24.2779 * CHOOSE(CONTROL!$C$22, $C$13, 100%, $E$13)</f>
        <v>24.277899999999999</v>
      </c>
      <c r="J740" s="64">
        <f>14.7538 * CHOOSE(CONTROL!$C$22, $C$13, 100%, $E$13)</f>
        <v>14.7538</v>
      </c>
      <c r="K740" s="64">
        <f>14.7562 * CHOOSE(CONTROL!$C$22, $C$13, 100%, $E$13)</f>
        <v>14.7562</v>
      </c>
    </row>
    <row r="741" spans="1:11" ht="15">
      <c r="A741" s="13">
        <v>64193</v>
      </c>
      <c r="B741" s="63">
        <f>12.6274 * CHOOSE(CONTROL!$C$22, $C$13, 100%, $E$13)</f>
        <v>12.6274</v>
      </c>
      <c r="C741" s="63">
        <f>12.6274 * CHOOSE(CONTROL!$C$22, $C$13, 100%, $E$13)</f>
        <v>12.6274</v>
      </c>
      <c r="D741" s="63">
        <f>12.6473 * CHOOSE(CONTROL!$C$22, $C$13, 100%, $E$13)</f>
        <v>12.6473</v>
      </c>
      <c r="E741" s="64">
        <f>14.8077 * CHOOSE(CONTROL!$C$22, $C$13, 100%, $E$13)</f>
        <v>14.807700000000001</v>
      </c>
      <c r="F741" s="64">
        <f>14.8077 * CHOOSE(CONTROL!$C$22, $C$13, 100%, $E$13)</f>
        <v>14.807700000000001</v>
      </c>
      <c r="G741" s="64">
        <f>14.8079 * CHOOSE(CONTROL!$C$22, $C$13, 100%, $E$13)</f>
        <v>14.8079</v>
      </c>
      <c r="H741" s="64">
        <f>24.3261* CHOOSE(CONTROL!$C$22, $C$13, 100%, $E$13)</f>
        <v>24.3261</v>
      </c>
      <c r="I741" s="64">
        <f>24.3263 * CHOOSE(CONTROL!$C$22, $C$13, 100%, $E$13)</f>
        <v>24.3263</v>
      </c>
      <c r="J741" s="64">
        <f>14.8077 * CHOOSE(CONTROL!$C$22, $C$13, 100%, $E$13)</f>
        <v>14.807700000000001</v>
      </c>
      <c r="K741" s="64">
        <f>14.8079 * CHOOSE(CONTROL!$C$22, $C$13, 100%, $E$13)</f>
        <v>14.8079</v>
      </c>
    </row>
    <row r="742" spans="1:11" ht="15">
      <c r="A742" s="13">
        <v>64224</v>
      </c>
      <c r="B742" s="63">
        <f>12.6304 * CHOOSE(CONTROL!$C$22, $C$13, 100%, $E$13)</f>
        <v>12.6304</v>
      </c>
      <c r="C742" s="63">
        <f>12.6304 * CHOOSE(CONTROL!$C$22, $C$13, 100%, $E$13)</f>
        <v>12.6304</v>
      </c>
      <c r="D742" s="63">
        <f>12.6504 * CHOOSE(CONTROL!$C$22, $C$13, 100%, $E$13)</f>
        <v>12.650399999999999</v>
      </c>
      <c r="E742" s="64">
        <f>14.8435 * CHOOSE(CONTROL!$C$22, $C$13, 100%, $E$13)</f>
        <v>14.843500000000001</v>
      </c>
      <c r="F742" s="64">
        <f>14.8435 * CHOOSE(CONTROL!$C$22, $C$13, 100%, $E$13)</f>
        <v>14.843500000000001</v>
      </c>
      <c r="G742" s="64">
        <f>14.8437 * CHOOSE(CONTROL!$C$22, $C$13, 100%, $E$13)</f>
        <v>14.8437</v>
      </c>
      <c r="H742" s="64">
        <f>24.3768* CHOOSE(CONTROL!$C$22, $C$13, 100%, $E$13)</f>
        <v>24.376799999999999</v>
      </c>
      <c r="I742" s="64">
        <f>24.3769 * CHOOSE(CONTROL!$C$22, $C$13, 100%, $E$13)</f>
        <v>24.376899999999999</v>
      </c>
      <c r="J742" s="64">
        <f>14.8435 * CHOOSE(CONTROL!$C$22, $C$13, 100%, $E$13)</f>
        <v>14.843500000000001</v>
      </c>
      <c r="K742" s="64">
        <f>14.8437 * CHOOSE(CONTROL!$C$22, $C$13, 100%, $E$13)</f>
        <v>14.8437</v>
      </c>
    </row>
    <row r="743" spans="1:11" ht="15">
      <c r="A743" s="13">
        <v>64254</v>
      </c>
      <c r="B743" s="63">
        <f>12.6304 * CHOOSE(CONTROL!$C$22, $C$13, 100%, $E$13)</f>
        <v>12.6304</v>
      </c>
      <c r="C743" s="63">
        <f>12.6304 * CHOOSE(CONTROL!$C$22, $C$13, 100%, $E$13)</f>
        <v>12.6304</v>
      </c>
      <c r="D743" s="63">
        <f>12.6504 * CHOOSE(CONTROL!$C$22, $C$13, 100%, $E$13)</f>
        <v>12.650399999999999</v>
      </c>
      <c r="E743" s="64">
        <f>14.7593 * CHOOSE(CONTROL!$C$22, $C$13, 100%, $E$13)</f>
        <v>14.7593</v>
      </c>
      <c r="F743" s="64">
        <f>14.7593 * CHOOSE(CONTROL!$C$22, $C$13, 100%, $E$13)</f>
        <v>14.7593</v>
      </c>
      <c r="G743" s="64">
        <f>14.7595 * CHOOSE(CONTROL!$C$22, $C$13, 100%, $E$13)</f>
        <v>14.759499999999999</v>
      </c>
      <c r="H743" s="64">
        <f>24.4275* CHOOSE(CONTROL!$C$22, $C$13, 100%, $E$13)</f>
        <v>24.427499999999998</v>
      </c>
      <c r="I743" s="64">
        <f>24.4277 * CHOOSE(CONTROL!$C$22, $C$13, 100%, $E$13)</f>
        <v>24.427700000000002</v>
      </c>
      <c r="J743" s="64">
        <f>14.7593 * CHOOSE(CONTROL!$C$22, $C$13, 100%, $E$13)</f>
        <v>14.7593</v>
      </c>
      <c r="K743" s="64">
        <f>14.7595 * CHOOSE(CONTROL!$C$22, $C$13, 100%, $E$13)</f>
        <v>14.759499999999999</v>
      </c>
    </row>
    <row r="744" spans="1:11" ht="15">
      <c r="A744" s="13">
        <v>64285</v>
      </c>
      <c r="B744" s="63">
        <f>12.6449 * CHOOSE(CONTROL!$C$22, $C$13, 100%, $E$13)</f>
        <v>12.6449</v>
      </c>
      <c r="C744" s="63">
        <f>12.6449 * CHOOSE(CONTROL!$C$22, $C$13, 100%, $E$13)</f>
        <v>12.6449</v>
      </c>
      <c r="D744" s="63">
        <f>12.6649 * CHOOSE(CONTROL!$C$22, $C$13, 100%, $E$13)</f>
        <v>12.664899999999999</v>
      </c>
      <c r="E744" s="64">
        <f>14.8352 * CHOOSE(CONTROL!$C$22, $C$13, 100%, $E$13)</f>
        <v>14.8352</v>
      </c>
      <c r="F744" s="64">
        <f>14.8352 * CHOOSE(CONTROL!$C$22, $C$13, 100%, $E$13)</f>
        <v>14.8352</v>
      </c>
      <c r="G744" s="64">
        <f>14.8354 * CHOOSE(CONTROL!$C$22, $C$13, 100%, $E$13)</f>
        <v>14.8354</v>
      </c>
      <c r="H744" s="64">
        <f>24.3206* CHOOSE(CONTROL!$C$22, $C$13, 100%, $E$13)</f>
        <v>24.320599999999999</v>
      </c>
      <c r="I744" s="64">
        <f>24.3207 * CHOOSE(CONTROL!$C$22, $C$13, 100%, $E$13)</f>
        <v>24.320699999999999</v>
      </c>
      <c r="J744" s="64">
        <f>14.8352 * CHOOSE(CONTROL!$C$22, $C$13, 100%, $E$13)</f>
        <v>14.8352</v>
      </c>
      <c r="K744" s="64">
        <f>14.8354 * CHOOSE(CONTROL!$C$22, $C$13, 100%, $E$13)</f>
        <v>14.8354</v>
      </c>
    </row>
    <row r="745" spans="1:11" ht="15">
      <c r="A745" s="13">
        <v>64316</v>
      </c>
      <c r="B745" s="63">
        <f>12.6419 * CHOOSE(CONTROL!$C$22, $C$13, 100%, $E$13)</f>
        <v>12.6419</v>
      </c>
      <c r="C745" s="63">
        <f>12.6419 * CHOOSE(CONTROL!$C$22, $C$13, 100%, $E$13)</f>
        <v>12.6419</v>
      </c>
      <c r="D745" s="63">
        <f>12.6618 * CHOOSE(CONTROL!$C$22, $C$13, 100%, $E$13)</f>
        <v>12.661799999999999</v>
      </c>
      <c r="E745" s="64">
        <f>14.6708 * CHOOSE(CONTROL!$C$22, $C$13, 100%, $E$13)</f>
        <v>14.6708</v>
      </c>
      <c r="F745" s="64">
        <f>14.6708 * CHOOSE(CONTROL!$C$22, $C$13, 100%, $E$13)</f>
        <v>14.6708</v>
      </c>
      <c r="G745" s="64">
        <f>14.6709 * CHOOSE(CONTROL!$C$22, $C$13, 100%, $E$13)</f>
        <v>14.6709</v>
      </c>
      <c r="H745" s="64">
        <f>24.3712* CHOOSE(CONTROL!$C$22, $C$13, 100%, $E$13)</f>
        <v>24.371200000000002</v>
      </c>
      <c r="I745" s="64">
        <f>24.3714 * CHOOSE(CONTROL!$C$22, $C$13, 100%, $E$13)</f>
        <v>24.371400000000001</v>
      </c>
      <c r="J745" s="64">
        <f>14.6708 * CHOOSE(CONTROL!$C$22, $C$13, 100%, $E$13)</f>
        <v>14.6708</v>
      </c>
      <c r="K745" s="64">
        <f>14.6709 * CHOOSE(CONTROL!$C$22, $C$13, 100%, $E$13)</f>
        <v>14.6709</v>
      </c>
    </row>
    <row r="746" spans="1:11" ht="15">
      <c r="A746" s="13">
        <v>64345</v>
      </c>
      <c r="B746" s="63">
        <f>12.6388 * CHOOSE(CONTROL!$C$22, $C$13, 100%, $E$13)</f>
        <v>12.6388</v>
      </c>
      <c r="C746" s="63">
        <f>12.6388 * CHOOSE(CONTROL!$C$22, $C$13, 100%, $E$13)</f>
        <v>12.6388</v>
      </c>
      <c r="D746" s="63">
        <f>12.6588 * CHOOSE(CONTROL!$C$22, $C$13, 100%, $E$13)</f>
        <v>12.658799999999999</v>
      </c>
      <c r="E746" s="64">
        <f>14.7966 * CHOOSE(CONTROL!$C$22, $C$13, 100%, $E$13)</f>
        <v>14.7966</v>
      </c>
      <c r="F746" s="64">
        <f>14.7966 * CHOOSE(CONTROL!$C$22, $C$13, 100%, $E$13)</f>
        <v>14.7966</v>
      </c>
      <c r="G746" s="64">
        <f>14.7968 * CHOOSE(CONTROL!$C$22, $C$13, 100%, $E$13)</f>
        <v>14.796799999999999</v>
      </c>
      <c r="H746" s="64">
        <f>24.422* CHOOSE(CONTROL!$C$22, $C$13, 100%, $E$13)</f>
        <v>24.422000000000001</v>
      </c>
      <c r="I746" s="64">
        <f>24.4222 * CHOOSE(CONTROL!$C$22, $C$13, 100%, $E$13)</f>
        <v>24.4222</v>
      </c>
      <c r="J746" s="64">
        <f>14.7966 * CHOOSE(CONTROL!$C$22, $C$13, 100%, $E$13)</f>
        <v>14.7966</v>
      </c>
      <c r="K746" s="64">
        <f>14.7968 * CHOOSE(CONTROL!$C$22, $C$13, 100%, $E$13)</f>
        <v>14.796799999999999</v>
      </c>
    </row>
    <row r="747" spans="1:11" ht="15">
      <c r="A747" s="13">
        <v>64376</v>
      </c>
      <c r="B747" s="63">
        <f>12.6439 * CHOOSE(CONTROL!$C$22, $C$13, 100%, $E$13)</f>
        <v>12.6439</v>
      </c>
      <c r="C747" s="63">
        <f>12.6439 * CHOOSE(CONTROL!$C$22, $C$13, 100%, $E$13)</f>
        <v>12.6439</v>
      </c>
      <c r="D747" s="63">
        <f>12.6638 * CHOOSE(CONTROL!$C$22, $C$13, 100%, $E$13)</f>
        <v>12.6638</v>
      </c>
      <c r="E747" s="64">
        <f>14.9298 * CHOOSE(CONTROL!$C$22, $C$13, 100%, $E$13)</f>
        <v>14.9298</v>
      </c>
      <c r="F747" s="64">
        <f>14.9298 * CHOOSE(CONTROL!$C$22, $C$13, 100%, $E$13)</f>
        <v>14.9298</v>
      </c>
      <c r="G747" s="64">
        <f>14.93 * CHOOSE(CONTROL!$C$22, $C$13, 100%, $E$13)</f>
        <v>14.93</v>
      </c>
      <c r="H747" s="64">
        <f>24.4729* CHOOSE(CONTROL!$C$22, $C$13, 100%, $E$13)</f>
        <v>24.472899999999999</v>
      </c>
      <c r="I747" s="64">
        <f>24.4731 * CHOOSE(CONTROL!$C$22, $C$13, 100%, $E$13)</f>
        <v>24.473099999999999</v>
      </c>
      <c r="J747" s="64">
        <f>14.9298 * CHOOSE(CONTROL!$C$22, $C$13, 100%, $E$13)</f>
        <v>14.9298</v>
      </c>
      <c r="K747" s="64">
        <f>14.93 * CHOOSE(CONTROL!$C$22, $C$13, 100%, $E$13)</f>
        <v>14.93</v>
      </c>
    </row>
    <row r="748" spans="1:11" ht="15">
      <c r="A748" s="13">
        <v>64406</v>
      </c>
      <c r="B748" s="63">
        <f>12.6439 * CHOOSE(CONTROL!$C$22, $C$13, 100%, $E$13)</f>
        <v>12.6439</v>
      </c>
      <c r="C748" s="63">
        <f>12.6439 * CHOOSE(CONTROL!$C$22, $C$13, 100%, $E$13)</f>
        <v>12.6439</v>
      </c>
      <c r="D748" s="63">
        <f>12.6838 * CHOOSE(CONTROL!$C$22, $C$13, 100%, $E$13)</f>
        <v>12.6838</v>
      </c>
      <c r="E748" s="64">
        <f>14.9813 * CHOOSE(CONTROL!$C$22, $C$13, 100%, $E$13)</f>
        <v>14.981299999999999</v>
      </c>
      <c r="F748" s="64">
        <f>14.9813 * CHOOSE(CONTROL!$C$22, $C$13, 100%, $E$13)</f>
        <v>14.981299999999999</v>
      </c>
      <c r="G748" s="64">
        <f>14.9838 * CHOOSE(CONTROL!$C$22, $C$13, 100%, $E$13)</f>
        <v>14.9838</v>
      </c>
      <c r="H748" s="64">
        <f>24.5239* CHOOSE(CONTROL!$C$22, $C$13, 100%, $E$13)</f>
        <v>24.523900000000001</v>
      </c>
      <c r="I748" s="64">
        <f>24.5263 * CHOOSE(CONTROL!$C$22, $C$13, 100%, $E$13)</f>
        <v>24.526299999999999</v>
      </c>
      <c r="J748" s="64">
        <f>14.9813 * CHOOSE(CONTROL!$C$22, $C$13, 100%, $E$13)</f>
        <v>14.981299999999999</v>
      </c>
      <c r="K748" s="64">
        <f>14.9838 * CHOOSE(CONTROL!$C$22, $C$13, 100%, $E$13)</f>
        <v>14.9838</v>
      </c>
    </row>
    <row r="749" spans="1:11" ht="15">
      <c r="A749" s="13">
        <v>64437</v>
      </c>
      <c r="B749" s="63">
        <f>12.65 * CHOOSE(CONTROL!$C$22, $C$13, 100%, $E$13)</f>
        <v>12.65</v>
      </c>
      <c r="C749" s="63">
        <f>12.65 * CHOOSE(CONTROL!$C$22, $C$13, 100%, $E$13)</f>
        <v>12.65</v>
      </c>
      <c r="D749" s="63">
        <f>12.6899 * CHOOSE(CONTROL!$C$22, $C$13, 100%, $E$13)</f>
        <v>12.6899</v>
      </c>
      <c r="E749" s="64">
        <f>14.934 * CHOOSE(CONTROL!$C$22, $C$13, 100%, $E$13)</f>
        <v>14.933999999999999</v>
      </c>
      <c r="F749" s="64">
        <f>14.934 * CHOOSE(CONTROL!$C$22, $C$13, 100%, $E$13)</f>
        <v>14.933999999999999</v>
      </c>
      <c r="G749" s="64">
        <f>14.9365 * CHOOSE(CONTROL!$C$22, $C$13, 100%, $E$13)</f>
        <v>14.936500000000001</v>
      </c>
      <c r="H749" s="64">
        <f>24.575* CHOOSE(CONTROL!$C$22, $C$13, 100%, $E$13)</f>
        <v>24.574999999999999</v>
      </c>
      <c r="I749" s="64">
        <f>24.5774 * CHOOSE(CONTROL!$C$22, $C$13, 100%, $E$13)</f>
        <v>24.577400000000001</v>
      </c>
      <c r="J749" s="64">
        <f>14.934 * CHOOSE(CONTROL!$C$22, $C$13, 100%, $E$13)</f>
        <v>14.933999999999999</v>
      </c>
      <c r="K749" s="64">
        <f>14.9365 * CHOOSE(CONTROL!$C$22, $C$13, 100%, $E$13)</f>
        <v>14.936500000000001</v>
      </c>
    </row>
    <row r="750" spans="1:11" ht="15">
      <c r="A750" s="13">
        <v>64467</v>
      </c>
      <c r="B750" s="63">
        <f>12.8495 * CHOOSE(CONTROL!$C$22, $C$13, 100%, $E$13)</f>
        <v>12.849500000000001</v>
      </c>
      <c r="C750" s="63">
        <f>12.8495 * CHOOSE(CONTROL!$C$22, $C$13, 100%, $E$13)</f>
        <v>12.849500000000001</v>
      </c>
      <c r="D750" s="63">
        <f>12.8894 * CHOOSE(CONTROL!$C$22, $C$13, 100%, $E$13)</f>
        <v>12.8894</v>
      </c>
      <c r="E750" s="64">
        <f>15.2195 * CHOOSE(CONTROL!$C$22, $C$13, 100%, $E$13)</f>
        <v>15.2195</v>
      </c>
      <c r="F750" s="64">
        <f>15.2195 * CHOOSE(CONTROL!$C$22, $C$13, 100%, $E$13)</f>
        <v>15.2195</v>
      </c>
      <c r="G750" s="64">
        <f>15.222 * CHOOSE(CONTROL!$C$22, $C$13, 100%, $E$13)</f>
        <v>15.222</v>
      </c>
      <c r="H750" s="64">
        <f>24.6262* CHOOSE(CONTROL!$C$22, $C$13, 100%, $E$13)</f>
        <v>24.626200000000001</v>
      </c>
      <c r="I750" s="64">
        <f>24.6286 * CHOOSE(CONTROL!$C$22, $C$13, 100%, $E$13)</f>
        <v>24.628599999999999</v>
      </c>
      <c r="J750" s="64">
        <f>15.2195 * CHOOSE(CONTROL!$C$22, $C$13, 100%, $E$13)</f>
        <v>15.2195</v>
      </c>
      <c r="K750" s="64">
        <f>15.222 * CHOOSE(CONTROL!$C$22, $C$13, 100%, $E$13)</f>
        <v>15.222</v>
      </c>
    </row>
    <row r="751" spans="1:11" ht="15">
      <c r="A751" s="13">
        <v>64498</v>
      </c>
      <c r="B751" s="63">
        <f>12.8562 * CHOOSE(CONTROL!$C$22, $C$13, 100%, $E$13)</f>
        <v>12.856199999999999</v>
      </c>
      <c r="C751" s="63">
        <f>12.8562 * CHOOSE(CONTROL!$C$22, $C$13, 100%, $E$13)</f>
        <v>12.856199999999999</v>
      </c>
      <c r="D751" s="63">
        <f>12.8961 * CHOOSE(CONTROL!$C$22, $C$13, 100%, $E$13)</f>
        <v>12.896100000000001</v>
      </c>
      <c r="E751" s="64">
        <f>15.0696 * CHOOSE(CONTROL!$C$22, $C$13, 100%, $E$13)</f>
        <v>15.069599999999999</v>
      </c>
      <c r="F751" s="64">
        <f>15.0696 * CHOOSE(CONTROL!$C$22, $C$13, 100%, $E$13)</f>
        <v>15.069599999999999</v>
      </c>
      <c r="G751" s="64">
        <f>15.072 * CHOOSE(CONTROL!$C$22, $C$13, 100%, $E$13)</f>
        <v>15.071999999999999</v>
      </c>
      <c r="H751" s="64">
        <f>24.6775* CHOOSE(CONTROL!$C$22, $C$13, 100%, $E$13)</f>
        <v>24.677499999999998</v>
      </c>
      <c r="I751" s="64">
        <f>24.6799 * CHOOSE(CONTROL!$C$22, $C$13, 100%, $E$13)</f>
        <v>24.6799</v>
      </c>
      <c r="J751" s="64">
        <f>15.0696 * CHOOSE(CONTROL!$C$22, $C$13, 100%, $E$13)</f>
        <v>15.069599999999999</v>
      </c>
      <c r="K751" s="64">
        <f>15.072 * CHOOSE(CONTROL!$C$22, $C$13, 100%, $E$13)</f>
        <v>15.071999999999999</v>
      </c>
    </row>
    <row r="752" spans="1:11" ht="15">
      <c r="A752" s="13">
        <v>64529</v>
      </c>
      <c r="B752" s="63">
        <f>12.8532 * CHOOSE(CONTROL!$C$22, $C$13, 100%, $E$13)</f>
        <v>12.853199999999999</v>
      </c>
      <c r="C752" s="63">
        <f>12.8532 * CHOOSE(CONTROL!$C$22, $C$13, 100%, $E$13)</f>
        <v>12.853199999999999</v>
      </c>
      <c r="D752" s="63">
        <f>12.8931 * CHOOSE(CONTROL!$C$22, $C$13, 100%, $E$13)</f>
        <v>12.8931</v>
      </c>
      <c r="E752" s="64">
        <f>15.0503 * CHOOSE(CONTROL!$C$22, $C$13, 100%, $E$13)</f>
        <v>15.0503</v>
      </c>
      <c r="F752" s="64">
        <f>15.0503 * CHOOSE(CONTROL!$C$22, $C$13, 100%, $E$13)</f>
        <v>15.0503</v>
      </c>
      <c r="G752" s="64">
        <f>15.0527 * CHOOSE(CONTROL!$C$22, $C$13, 100%, $E$13)</f>
        <v>15.0527</v>
      </c>
      <c r="H752" s="64">
        <f>24.7289* CHOOSE(CONTROL!$C$22, $C$13, 100%, $E$13)</f>
        <v>24.728899999999999</v>
      </c>
      <c r="I752" s="64">
        <f>24.7313 * CHOOSE(CONTROL!$C$22, $C$13, 100%, $E$13)</f>
        <v>24.731300000000001</v>
      </c>
      <c r="J752" s="64">
        <f>15.0503 * CHOOSE(CONTROL!$C$22, $C$13, 100%, $E$13)</f>
        <v>15.0503</v>
      </c>
      <c r="K752" s="64">
        <f>15.0527 * CHOOSE(CONTROL!$C$22, $C$13, 100%, $E$13)</f>
        <v>15.0527</v>
      </c>
    </row>
    <row r="753" spans="1:11" ht="15">
      <c r="A753" s="13">
        <v>64559</v>
      </c>
      <c r="B753" s="63">
        <f>12.8774 * CHOOSE(CONTROL!$C$22, $C$13, 100%, $E$13)</f>
        <v>12.8774</v>
      </c>
      <c r="C753" s="63">
        <f>12.8774 * CHOOSE(CONTROL!$C$22, $C$13, 100%, $E$13)</f>
        <v>12.8774</v>
      </c>
      <c r="D753" s="63">
        <f>12.8973 * CHOOSE(CONTROL!$C$22, $C$13, 100%, $E$13)</f>
        <v>12.8973</v>
      </c>
      <c r="E753" s="64">
        <f>15.1056 * CHOOSE(CONTROL!$C$22, $C$13, 100%, $E$13)</f>
        <v>15.105600000000001</v>
      </c>
      <c r="F753" s="64">
        <f>15.1056 * CHOOSE(CONTROL!$C$22, $C$13, 100%, $E$13)</f>
        <v>15.105600000000001</v>
      </c>
      <c r="G753" s="64">
        <f>15.1058 * CHOOSE(CONTROL!$C$22, $C$13, 100%, $E$13)</f>
        <v>15.1058</v>
      </c>
      <c r="H753" s="64">
        <f>24.7804* CHOOSE(CONTROL!$C$22, $C$13, 100%, $E$13)</f>
        <v>24.7804</v>
      </c>
      <c r="I753" s="64">
        <f>24.7806 * CHOOSE(CONTROL!$C$22, $C$13, 100%, $E$13)</f>
        <v>24.7806</v>
      </c>
      <c r="J753" s="64">
        <f>15.1056 * CHOOSE(CONTROL!$C$22, $C$13, 100%, $E$13)</f>
        <v>15.105600000000001</v>
      </c>
      <c r="K753" s="64">
        <f>15.1058 * CHOOSE(CONTROL!$C$22, $C$13, 100%, $E$13)</f>
        <v>15.1058</v>
      </c>
    </row>
    <row r="754" spans="1:11" ht="15">
      <c r="A754" s="13">
        <v>64590</v>
      </c>
      <c r="B754" s="63">
        <f>12.8804 * CHOOSE(CONTROL!$C$22, $C$13, 100%, $E$13)</f>
        <v>12.8804</v>
      </c>
      <c r="C754" s="63">
        <f>12.8804 * CHOOSE(CONTROL!$C$22, $C$13, 100%, $E$13)</f>
        <v>12.8804</v>
      </c>
      <c r="D754" s="63">
        <f>12.9004 * CHOOSE(CONTROL!$C$22, $C$13, 100%, $E$13)</f>
        <v>12.900399999999999</v>
      </c>
      <c r="E754" s="64">
        <f>15.1421 * CHOOSE(CONTROL!$C$22, $C$13, 100%, $E$13)</f>
        <v>15.142099999999999</v>
      </c>
      <c r="F754" s="64">
        <f>15.1421 * CHOOSE(CONTROL!$C$22, $C$13, 100%, $E$13)</f>
        <v>15.142099999999999</v>
      </c>
      <c r="G754" s="64">
        <f>15.1422 * CHOOSE(CONTROL!$C$22, $C$13, 100%, $E$13)</f>
        <v>15.142200000000001</v>
      </c>
      <c r="H754" s="64">
        <f>24.832* CHOOSE(CONTROL!$C$22, $C$13, 100%, $E$13)</f>
        <v>24.832000000000001</v>
      </c>
      <c r="I754" s="64">
        <f>24.8322 * CHOOSE(CONTROL!$C$22, $C$13, 100%, $E$13)</f>
        <v>24.8322</v>
      </c>
      <c r="J754" s="64">
        <f>15.1421 * CHOOSE(CONTROL!$C$22, $C$13, 100%, $E$13)</f>
        <v>15.142099999999999</v>
      </c>
      <c r="K754" s="64">
        <f>15.1422 * CHOOSE(CONTROL!$C$22, $C$13, 100%, $E$13)</f>
        <v>15.142200000000001</v>
      </c>
    </row>
    <row r="755" spans="1:11" ht="15">
      <c r="A755" s="13">
        <v>64620</v>
      </c>
      <c r="B755" s="63">
        <f>12.8804 * CHOOSE(CONTROL!$C$22, $C$13, 100%, $E$13)</f>
        <v>12.8804</v>
      </c>
      <c r="C755" s="63">
        <f>12.8804 * CHOOSE(CONTROL!$C$22, $C$13, 100%, $E$13)</f>
        <v>12.8804</v>
      </c>
      <c r="D755" s="63">
        <f>12.9004 * CHOOSE(CONTROL!$C$22, $C$13, 100%, $E$13)</f>
        <v>12.900399999999999</v>
      </c>
      <c r="E755" s="64">
        <f>15.0562 * CHOOSE(CONTROL!$C$22, $C$13, 100%, $E$13)</f>
        <v>15.0562</v>
      </c>
      <c r="F755" s="64">
        <f>15.0562 * CHOOSE(CONTROL!$C$22, $C$13, 100%, $E$13)</f>
        <v>15.0562</v>
      </c>
      <c r="G755" s="64">
        <f>15.0563 * CHOOSE(CONTROL!$C$22, $C$13, 100%, $E$13)</f>
        <v>15.0563</v>
      </c>
      <c r="H755" s="64">
        <f>24.8838* CHOOSE(CONTROL!$C$22, $C$13, 100%, $E$13)</f>
        <v>24.883800000000001</v>
      </c>
      <c r="I755" s="64">
        <f>24.8839 * CHOOSE(CONTROL!$C$22, $C$13, 100%, $E$13)</f>
        <v>24.883900000000001</v>
      </c>
      <c r="J755" s="64">
        <f>15.0562 * CHOOSE(CONTROL!$C$22, $C$13, 100%, $E$13)</f>
        <v>15.0562</v>
      </c>
      <c r="K755" s="64">
        <f>15.0563 * CHOOSE(CONTROL!$C$22, $C$13, 100%, $E$13)</f>
        <v>15.0563</v>
      </c>
    </row>
    <row r="756" spans="1:11" ht="15">
      <c r="A756" s="13">
        <v>64651</v>
      </c>
      <c r="B756" s="63">
        <f>12.8902 * CHOOSE(CONTROL!$C$22, $C$13, 100%, $E$13)</f>
        <v>12.8902</v>
      </c>
      <c r="C756" s="63">
        <f>12.8902 * CHOOSE(CONTROL!$C$22, $C$13, 100%, $E$13)</f>
        <v>12.8902</v>
      </c>
      <c r="D756" s="63">
        <f>12.9102 * CHOOSE(CONTROL!$C$22, $C$13, 100%, $E$13)</f>
        <v>12.9102</v>
      </c>
      <c r="E756" s="64">
        <f>15.1276 * CHOOSE(CONTROL!$C$22, $C$13, 100%, $E$13)</f>
        <v>15.127599999999999</v>
      </c>
      <c r="F756" s="64">
        <f>15.1276 * CHOOSE(CONTROL!$C$22, $C$13, 100%, $E$13)</f>
        <v>15.127599999999999</v>
      </c>
      <c r="G756" s="64">
        <f>15.1278 * CHOOSE(CONTROL!$C$22, $C$13, 100%, $E$13)</f>
        <v>15.127800000000001</v>
      </c>
      <c r="H756" s="64">
        <f>24.7665* CHOOSE(CONTROL!$C$22, $C$13, 100%, $E$13)</f>
        <v>24.766500000000001</v>
      </c>
      <c r="I756" s="64">
        <f>24.7666 * CHOOSE(CONTROL!$C$22, $C$13, 100%, $E$13)</f>
        <v>24.7666</v>
      </c>
      <c r="J756" s="64">
        <f>15.1276 * CHOOSE(CONTROL!$C$22, $C$13, 100%, $E$13)</f>
        <v>15.127599999999999</v>
      </c>
      <c r="K756" s="64">
        <f>15.1278 * CHOOSE(CONTROL!$C$22, $C$13, 100%, $E$13)</f>
        <v>15.127800000000001</v>
      </c>
    </row>
    <row r="757" spans="1:11" ht="15">
      <c r="A757" s="13">
        <v>64682</v>
      </c>
      <c r="B757" s="63">
        <f>12.8872 * CHOOSE(CONTROL!$C$22, $C$13, 100%, $E$13)</f>
        <v>12.8872</v>
      </c>
      <c r="C757" s="63">
        <f>12.8872 * CHOOSE(CONTROL!$C$22, $C$13, 100%, $E$13)</f>
        <v>12.8872</v>
      </c>
      <c r="D757" s="63">
        <f>12.9071 * CHOOSE(CONTROL!$C$22, $C$13, 100%, $E$13)</f>
        <v>12.9071</v>
      </c>
      <c r="E757" s="64">
        <f>14.96 * CHOOSE(CONTROL!$C$22, $C$13, 100%, $E$13)</f>
        <v>14.96</v>
      </c>
      <c r="F757" s="64">
        <f>14.96 * CHOOSE(CONTROL!$C$22, $C$13, 100%, $E$13)</f>
        <v>14.96</v>
      </c>
      <c r="G757" s="64">
        <f>14.9601 * CHOOSE(CONTROL!$C$22, $C$13, 100%, $E$13)</f>
        <v>14.960100000000001</v>
      </c>
      <c r="H757" s="64">
        <f>24.8181* CHOOSE(CONTROL!$C$22, $C$13, 100%, $E$13)</f>
        <v>24.818100000000001</v>
      </c>
      <c r="I757" s="64">
        <f>24.8182 * CHOOSE(CONTROL!$C$22, $C$13, 100%, $E$13)</f>
        <v>24.818200000000001</v>
      </c>
      <c r="J757" s="64">
        <f>14.96 * CHOOSE(CONTROL!$C$22, $C$13, 100%, $E$13)</f>
        <v>14.96</v>
      </c>
      <c r="K757" s="64">
        <f>14.9601 * CHOOSE(CONTROL!$C$22, $C$13, 100%, $E$13)</f>
        <v>14.960100000000001</v>
      </c>
    </row>
    <row r="758" spans="1:11" ht="15">
      <c r="A758" s="13">
        <v>64710</v>
      </c>
      <c r="B758" s="63">
        <f>12.8841 * CHOOSE(CONTROL!$C$22, $C$13, 100%, $E$13)</f>
        <v>12.8841</v>
      </c>
      <c r="C758" s="63">
        <f>12.8841 * CHOOSE(CONTROL!$C$22, $C$13, 100%, $E$13)</f>
        <v>12.8841</v>
      </c>
      <c r="D758" s="63">
        <f>12.9041 * CHOOSE(CONTROL!$C$22, $C$13, 100%, $E$13)</f>
        <v>12.9041</v>
      </c>
      <c r="E758" s="64">
        <f>15.0883 * CHOOSE(CONTROL!$C$22, $C$13, 100%, $E$13)</f>
        <v>15.0883</v>
      </c>
      <c r="F758" s="64">
        <f>15.0883 * CHOOSE(CONTROL!$C$22, $C$13, 100%, $E$13)</f>
        <v>15.0883</v>
      </c>
      <c r="G758" s="64">
        <f>15.0885 * CHOOSE(CONTROL!$C$22, $C$13, 100%, $E$13)</f>
        <v>15.0885</v>
      </c>
      <c r="H758" s="64">
        <f>24.8698* CHOOSE(CONTROL!$C$22, $C$13, 100%, $E$13)</f>
        <v>24.869800000000001</v>
      </c>
      <c r="I758" s="64">
        <f>24.8699 * CHOOSE(CONTROL!$C$22, $C$13, 100%, $E$13)</f>
        <v>24.869900000000001</v>
      </c>
      <c r="J758" s="64">
        <f>15.0883 * CHOOSE(CONTROL!$C$22, $C$13, 100%, $E$13)</f>
        <v>15.0883</v>
      </c>
      <c r="K758" s="64">
        <f>15.0885 * CHOOSE(CONTROL!$C$22, $C$13, 100%, $E$13)</f>
        <v>15.0885</v>
      </c>
    </row>
    <row r="759" spans="1:11" ht="15">
      <c r="A759" s="13">
        <v>64741</v>
      </c>
      <c r="B759" s="63">
        <f>12.8894 * CHOOSE(CONTROL!$C$22, $C$13, 100%, $E$13)</f>
        <v>12.8894</v>
      </c>
      <c r="C759" s="63">
        <f>12.8894 * CHOOSE(CONTROL!$C$22, $C$13, 100%, $E$13)</f>
        <v>12.8894</v>
      </c>
      <c r="D759" s="63">
        <f>12.9094 * CHOOSE(CONTROL!$C$22, $C$13, 100%, $E$13)</f>
        <v>12.9094</v>
      </c>
      <c r="E759" s="64">
        <f>15.2242 * CHOOSE(CONTROL!$C$22, $C$13, 100%, $E$13)</f>
        <v>15.2242</v>
      </c>
      <c r="F759" s="64">
        <f>15.2242 * CHOOSE(CONTROL!$C$22, $C$13, 100%, $E$13)</f>
        <v>15.2242</v>
      </c>
      <c r="G759" s="64">
        <f>15.2244 * CHOOSE(CONTROL!$C$22, $C$13, 100%, $E$13)</f>
        <v>15.224399999999999</v>
      </c>
      <c r="H759" s="64">
        <f>24.9216* CHOOSE(CONTROL!$C$22, $C$13, 100%, $E$13)</f>
        <v>24.921600000000002</v>
      </c>
      <c r="I759" s="64">
        <f>24.9217 * CHOOSE(CONTROL!$C$22, $C$13, 100%, $E$13)</f>
        <v>24.921700000000001</v>
      </c>
      <c r="J759" s="64">
        <f>15.2242 * CHOOSE(CONTROL!$C$22, $C$13, 100%, $E$13)</f>
        <v>15.2242</v>
      </c>
      <c r="K759" s="64">
        <f>15.2244 * CHOOSE(CONTROL!$C$22, $C$13, 100%, $E$13)</f>
        <v>15.224399999999999</v>
      </c>
    </row>
    <row r="760" spans="1:11" ht="15">
      <c r="A760" s="13">
        <v>64771</v>
      </c>
      <c r="B760" s="63">
        <f>12.8894 * CHOOSE(CONTROL!$C$22, $C$13, 100%, $E$13)</f>
        <v>12.8894</v>
      </c>
      <c r="C760" s="63">
        <f>12.8894 * CHOOSE(CONTROL!$C$22, $C$13, 100%, $E$13)</f>
        <v>12.8894</v>
      </c>
      <c r="D760" s="63">
        <f>12.9293 * CHOOSE(CONTROL!$C$22, $C$13, 100%, $E$13)</f>
        <v>12.9293</v>
      </c>
      <c r="E760" s="64">
        <f>15.2768 * CHOOSE(CONTROL!$C$22, $C$13, 100%, $E$13)</f>
        <v>15.2768</v>
      </c>
      <c r="F760" s="64">
        <f>15.2768 * CHOOSE(CONTROL!$C$22, $C$13, 100%, $E$13)</f>
        <v>15.2768</v>
      </c>
      <c r="G760" s="64">
        <f>15.2792 * CHOOSE(CONTROL!$C$22, $C$13, 100%, $E$13)</f>
        <v>15.279199999999999</v>
      </c>
      <c r="H760" s="64">
        <f>24.9735* CHOOSE(CONTROL!$C$22, $C$13, 100%, $E$13)</f>
        <v>24.973500000000001</v>
      </c>
      <c r="I760" s="64">
        <f>24.9759 * CHOOSE(CONTROL!$C$22, $C$13, 100%, $E$13)</f>
        <v>24.975899999999999</v>
      </c>
      <c r="J760" s="64">
        <f>15.2768 * CHOOSE(CONTROL!$C$22, $C$13, 100%, $E$13)</f>
        <v>15.2768</v>
      </c>
      <c r="K760" s="64">
        <f>15.2792 * CHOOSE(CONTROL!$C$22, $C$13, 100%, $E$13)</f>
        <v>15.279199999999999</v>
      </c>
    </row>
    <row r="761" spans="1:11" ht="15">
      <c r="A761" s="13">
        <v>64802</v>
      </c>
      <c r="B761" s="63">
        <f>12.8955 * CHOOSE(CONTROL!$C$22, $C$13, 100%, $E$13)</f>
        <v>12.8955</v>
      </c>
      <c r="C761" s="63">
        <f>12.8955 * CHOOSE(CONTROL!$C$22, $C$13, 100%, $E$13)</f>
        <v>12.8955</v>
      </c>
      <c r="D761" s="63">
        <f>12.9354 * CHOOSE(CONTROL!$C$22, $C$13, 100%, $E$13)</f>
        <v>12.9354</v>
      </c>
      <c r="E761" s="64">
        <f>15.2285 * CHOOSE(CONTROL!$C$22, $C$13, 100%, $E$13)</f>
        <v>15.2285</v>
      </c>
      <c r="F761" s="64">
        <f>15.2285 * CHOOSE(CONTROL!$C$22, $C$13, 100%, $E$13)</f>
        <v>15.2285</v>
      </c>
      <c r="G761" s="64">
        <f>15.2309 * CHOOSE(CONTROL!$C$22, $C$13, 100%, $E$13)</f>
        <v>15.2309</v>
      </c>
      <c r="H761" s="64">
        <f>25.0255* CHOOSE(CONTROL!$C$22, $C$13, 100%, $E$13)</f>
        <v>25.025500000000001</v>
      </c>
      <c r="I761" s="64">
        <f>25.028 * CHOOSE(CONTROL!$C$22, $C$13, 100%, $E$13)</f>
        <v>25.027999999999999</v>
      </c>
      <c r="J761" s="64">
        <f>15.2285 * CHOOSE(CONTROL!$C$22, $C$13, 100%, $E$13)</f>
        <v>15.2285</v>
      </c>
      <c r="K761" s="64">
        <f>15.2309 * CHOOSE(CONTROL!$C$22, $C$13, 100%, $E$13)</f>
        <v>15.2309</v>
      </c>
    </row>
    <row r="762" spans="1:11" ht="15">
      <c r="A762" s="13">
        <v>64832</v>
      </c>
      <c r="B762" s="63">
        <f>13.0987 * CHOOSE(CONTROL!$C$22, $C$13, 100%, $E$13)</f>
        <v>13.098699999999999</v>
      </c>
      <c r="C762" s="63">
        <f>13.0987 * CHOOSE(CONTROL!$C$22, $C$13, 100%, $E$13)</f>
        <v>13.098699999999999</v>
      </c>
      <c r="D762" s="63">
        <f>13.1387 * CHOOSE(CONTROL!$C$22, $C$13, 100%, $E$13)</f>
        <v>13.1387</v>
      </c>
      <c r="E762" s="64">
        <f>15.5194 * CHOOSE(CONTROL!$C$22, $C$13, 100%, $E$13)</f>
        <v>15.519399999999999</v>
      </c>
      <c r="F762" s="64">
        <f>15.5194 * CHOOSE(CONTROL!$C$22, $C$13, 100%, $E$13)</f>
        <v>15.519399999999999</v>
      </c>
      <c r="G762" s="64">
        <f>15.5219 * CHOOSE(CONTROL!$C$22, $C$13, 100%, $E$13)</f>
        <v>15.5219</v>
      </c>
      <c r="H762" s="64">
        <f>25.0777* CHOOSE(CONTROL!$C$22, $C$13, 100%, $E$13)</f>
        <v>25.0777</v>
      </c>
      <c r="I762" s="64">
        <f>25.0801 * CHOOSE(CONTROL!$C$22, $C$13, 100%, $E$13)</f>
        <v>25.080100000000002</v>
      </c>
      <c r="J762" s="64">
        <f>15.5194 * CHOOSE(CONTROL!$C$22, $C$13, 100%, $E$13)</f>
        <v>15.519399999999999</v>
      </c>
      <c r="K762" s="64">
        <f>15.5219 * CHOOSE(CONTROL!$C$22, $C$13, 100%, $E$13)</f>
        <v>15.5219</v>
      </c>
    </row>
    <row r="763" spans="1:11" ht="15">
      <c r="A763" s="13">
        <v>64863</v>
      </c>
      <c r="B763" s="63">
        <f>13.1054 * CHOOSE(CONTROL!$C$22, $C$13, 100%, $E$13)</f>
        <v>13.105399999999999</v>
      </c>
      <c r="C763" s="63">
        <f>13.1054 * CHOOSE(CONTROL!$C$22, $C$13, 100%, $E$13)</f>
        <v>13.105399999999999</v>
      </c>
      <c r="D763" s="63">
        <f>13.1453 * CHOOSE(CONTROL!$C$22, $C$13, 100%, $E$13)</f>
        <v>13.145300000000001</v>
      </c>
      <c r="E763" s="64">
        <f>15.3664 * CHOOSE(CONTROL!$C$22, $C$13, 100%, $E$13)</f>
        <v>15.366400000000001</v>
      </c>
      <c r="F763" s="64">
        <f>15.3664 * CHOOSE(CONTROL!$C$22, $C$13, 100%, $E$13)</f>
        <v>15.366400000000001</v>
      </c>
      <c r="G763" s="64">
        <f>15.3689 * CHOOSE(CONTROL!$C$22, $C$13, 100%, $E$13)</f>
        <v>15.3689</v>
      </c>
      <c r="H763" s="64">
        <f>25.1299* CHOOSE(CONTROL!$C$22, $C$13, 100%, $E$13)</f>
        <v>25.129899999999999</v>
      </c>
      <c r="I763" s="64">
        <f>25.1323 * CHOOSE(CONTROL!$C$22, $C$13, 100%, $E$13)</f>
        <v>25.132300000000001</v>
      </c>
      <c r="J763" s="64">
        <f>15.3664 * CHOOSE(CONTROL!$C$22, $C$13, 100%, $E$13)</f>
        <v>15.366400000000001</v>
      </c>
      <c r="K763" s="64">
        <f>15.3689 * CHOOSE(CONTROL!$C$22, $C$13, 100%, $E$13)</f>
        <v>15.3689</v>
      </c>
    </row>
    <row r="764" spans="1:11" ht="15">
      <c r="A764" s="13">
        <v>64894</v>
      </c>
      <c r="B764" s="63">
        <f>13.1024 * CHOOSE(CONTROL!$C$22, $C$13, 100%, $E$13)</f>
        <v>13.102399999999999</v>
      </c>
      <c r="C764" s="63">
        <f>13.1024 * CHOOSE(CONTROL!$C$22, $C$13, 100%, $E$13)</f>
        <v>13.102399999999999</v>
      </c>
      <c r="D764" s="63">
        <f>13.1423 * CHOOSE(CONTROL!$C$22, $C$13, 100%, $E$13)</f>
        <v>13.142300000000001</v>
      </c>
      <c r="E764" s="64">
        <f>15.3468 * CHOOSE(CONTROL!$C$22, $C$13, 100%, $E$13)</f>
        <v>15.3468</v>
      </c>
      <c r="F764" s="64">
        <f>15.3468 * CHOOSE(CONTROL!$C$22, $C$13, 100%, $E$13)</f>
        <v>15.3468</v>
      </c>
      <c r="G764" s="64">
        <f>15.3492 * CHOOSE(CONTROL!$C$22, $C$13, 100%, $E$13)</f>
        <v>15.3492</v>
      </c>
      <c r="H764" s="64">
        <f>25.1823* CHOOSE(CONTROL!$C$22, $C$13, 100%, $E$13)</f>
        <v>25.182300000000001</v>
      </c>
      <c r="I764" s="64">
        <f>25.1847 * CHOOSE(CONTROL!$C$22, $C$13, 100%, $E$13)</f>
        <v>25.184699999999999</v>
      </c>
      <c r="J764" s="64">
        <f>15.3468 * CHOOSE(CONTROL!$C$22, $C$13, 100%, $E$13)</f>
        <v>15.3468</v>
      </c>
      <c r="K764" s="64">
        <f>15.3492 * CHOOSE(CONTROL!$C$22, $C$13, 100%, $E$13)</f>
        <v>15.3492</v>
      </c>
    </row>
    <row r="765" spans="1:11" ht="15">
      <c r="A765" s="13">
        <v>64924</v>
      </c>
      <c r="B765" s="63">
        <f>13.1274 * CHOOSE(CONTROL!$C$22, $C$13, 100%, $E$13)</f>
        <v>13.1274</v>
      </c>
      <c r="C765" s="63">
        <f>13.1274 * CHOOSE(CONTROL!$C$22, $C$13, 100%, $E$13)</f>
        <v>13.1274</v>
      </c>
      <c r="D765" s="63">
        <f>13.1474 * CHOOSE(CONTROL!$C$22, $C$13, 100%, $E$13)</f>
        <v>13.147399999999999</v>
      </c>
      <c r="E765" s="64">
        <f>15.4034 * CHOOSE(CONTROL!$C$22, $C$13, 100%, $E$13)</f>
        <v>15.4034</v>
      </c>
      <c r="F765" s="64">
        <f>15.4034 * CHOOSE(CONTROL!$C$22, $C$13, 100%, $E$13)</f>
        <v>15.4034</v>
      </c>
      <c r="G765" s="64">
        <f>15.4036 * CHOOSE(CONTROL!$C$22, $C$13, 100%, $E$13)</f>
        <v>15.403600000000001</v>
      </c>
      <c r="H765" s="64">
        <f>25.2347* CHOOSE(CONTROL!$C$22, $C$13, 100%, $E$13)</f>
        <v>25.2347</v>
      </c>
      <c r="I765" s="64">
        <f>25.2349 * CHOOSE(CONTROL!$C$22, $C$13, 100%, $E$13)</f>
        <v>25.2349</v>
      </c>
      <c r="J765" s="64">
        <f>15.4034 * CHOOSE(CONTROL!$C$22, $C$13, 100%, $E$13)</f>
        <v>15.4034</v>
      </c>
      <c r="K765" s="64">
        <f>15.4036 * CHOOSE(CONTROL!$C$22, $C$13, 100%, $E$13)</f>
        <v>15.403600000000001</v>
      </c>
    </row>
    <row r="766" spans="1:11" ht="15">
      <c r="A766" s="13">
        <v>64955</v>
      </c>
      <c r="B766" s="63">
        <f>13.1304 * CHOOSE(CONTROL!$C$22, $C$13, 100%, $E$13)</f>
        <v>13.1304</v>
      </c>
      <c r="C766" s="63">
        <f>13.1304 * CHOOSE(CONTROL!$C$22, $C$13, 100%, $E$13)</f>
        <v>13.1304</v>
      </c>
      <c r="D766" s="63">
        <f>13.1504 * CHOOSE(CONTROL!$C$22, $C$13, 100%, $E$13)</f>
        <v>13.150399999999999</v>
      </c>
      <c r="E766" s="64">
        <f>15.4406 * CHOOSE(CONTROL!$C$22, $C$13, 100%, $E$13)</f>
        <v>15.4406</v>
      </c>
      <c r="F766" s="64">
        <f>15.4406 * CHOOSE(CONTROL!$C$22, $C$13, 100%, $E$13)</f>
        <v>15.4406</v>
      </c>
      <c r="G766" s="64">
        <f>15.4408 * CHOOSE(CONTROL!$C$22, $C$13, 100%, $E$13)</f>
        <v>15.440799999999999</v>
      </c>
      <c r="H766" s="64">
        <f>25.2873* CHOOSE(CONTROL!$C$22, $C$13, 100%, $E$13)</f>
        <v>25.287299999999998</v>
      </c>
      <c r="I766" s="64">
        <f>25.2875 * CHOOSE(CONTROL!$C$22, $C$13, 100%, $E$13)</f>
        <v>25.287500000000001</v>
      </c>
      <c r="J766" s="64">
        <f>15.4406 * CHOOSE(CONTROL!$C$22, $C$13, 100%, $E$13)</f>
        <v>15.4406</v>
      </c>
      <c r="K766" s="64">
        <f>15.4408 * CHOOSE(CONTROL!$C$22, $C$13, 100%, $E$13)</f>
        <v>15.440799999999999</v>
      </c>
    </row>
    <row r="767" spans="1:11" ht="15">
      <c r="A767" s="13">
        <v>64985</v>
      </c>
      <c r="B767" s="63">
        <f>13.1304 * CHOOSE(CONTROL!$C$22, $C$13, 100%, $E$13)</f>
        <v>13.1304</v>
      </c>
      <c r="C767" s="63">
        <f>13.1304 * CHOOSE(CONTROL!$C$22, $C$13, 100%, $E$13)</f>
        <v>13.1304</v>
      </c>
      <c r="D767" s="63">
        <f>13.1504 * CHOOSE(CONTROL!$C$22, $C$13, 100%, $E$13)</f>
        <v>13.150399999999999</v>
      </c>
      <c r="E767" s="64">
        <f>15.353 * CHOOSE(CONTROL!$C$22, $C$13, 100%, $E$13)</f>
        <v>15.353</v>
      </c>
      <c r="F767" s="64">
        <f>15.353 * CHOOSE(CONTROL!$C$22, $C$13, 100%, $E$13)</f>
        <v>15.353</v>
      </c>
      <c r="G767" s="64">
        <f>15.3532 * CHOOSE(CONTROL!$C$22, $C$13, 100%, $E$13)</f>
        <v>15.353199999999999</v>
      </c>
      <c r="H767" s="64">
        <f>25.34* CHOOSE(CONTROL!$C$22, $C$13, 100%, $E$13)</f>
        <v>25.34</v>
      </c>
      <c r="I767" s="64">
        <f>25.3401 * CHOOSE(CONTROL!$C$22, $C$13, 100%, $E$13)</f>
        <v>25.3401</v>
      </c>
      <c r="J767" s="64">
        <f>15.353 * CHOOSE(CONTROL!$C$22, $C$13, 100%, $E$13)</f>
        <v>15.353</v>
      </c>
      <c r="K767" s="64">
        <f>15.3532 * CHOOSE(CONTROL!$C$22, $C$13, 100%, $E$13)</f>
        <v>15.353199999999999</v>
      </c>
    </row>
    <row r="768" spans="1:11" ht="15">
      <c r="A768" s="13">
        <v>65016</v>
      </c>
      <c r="B768" s="63">
        <f>13.1355 * CHOOSE(CONTROL!$C$22, $C$13, 100%, $E$13)</f>
        <v>13.1355</v>
      </c>
      <c r="C768" s="63">
        <f>13.1355 * CHOOSE(CONTROL!$C$22, $C$13, 100%, $E$13)</f>
        <v>13.1355</v>
      </c>
      <c r="D768" s="63">
        <f>13.1555 * CHOOSE(CONTROL!$C$22, $C$13, 100%, $E$13)</f>
        <v>13.1555</v>
      </c>
      <c r="E768" s="64">
        <f>15.42 * CHOOSE(CONTROL!$C$22, $C$13, 100%, $E$13)</f>
        <v>15.42</v>
      </c>
      <c r="F768" s="64">
        <f>15.42 * CHOOSE(CONTROL!$C$22, $C$13, 100%, $E$13)</f>
        <v>15.42</v>
      </c>
      <c r="G768" s="64">
        <f>15.4202 * CHOOSE(CONTROL!$C$22, $C$13, 100%, $E$13)</f>
        <v>15.420199999999999</v>
      </c>
      <c r="H768" s="64">
        <f>25.2123* CHOOSE(CONTROL!$C$22, $C$13, 100%, $E$13)</f>
        <v>25.212299999999999</v>
      </c>
      <c r="I768" s="64">
        <f>25.2125 * CHOOSE(CONTROL!$C$22, $C$13, 100%, $E$13)</f>
        <v>25.212499999999999</v>
      </c>
      <c r="J768" s="64">
        <f>15.42 * CHOOSE(CONTROL!$C$22, $C$13, 100%, $E$13)</f>
        <v>15.42</v>
      </c>
      <c r="K768" s="64">
        <f>15.4202 * CHOOSE(CONTROL!$C$22, $C$13, 100%, $E$13)</f>
        <v>15.420199999999999</v>
      </c>
    </row>
    <row r="769" spans="1:11" ht="15">
      <c r="A769" s="13">
        <v>65047</v>
      </c>
      <c r="B769" s="63">
        <f>13.1325 * CHOOSE(CONTROL!$C$22, $C$13, 100%, $E$13)</f>
        <v>13.1325</v>
      </c>
      <c r="C769" s="63">
        <f>13.1325 * CHOOSE(CONTROL!$C$22, $C$13, 100%, $E$13)</f>
        <v>13.1325</v>
      </c>
      <c r="D769" s="63">
        <f>13.1525 * CHOOSE(CONTROL!$C$22, $C$13, 100%, $E$13)</f>
        <v>13.1525</v>
      </c>
      <c r="E769" s="64">
        <f>15.2492 * CHOOSE(CONTROL!$C$22, $C$13, 100%, $E$13)</f>
        <v>15.2492</v>
      </c>
      <c r="F769" s="64">
        <f>15.2492 * CHOOSE(CONTROL!$C$22, $C$13, 100%, $E$13)</f>
        <v>15.2492</v>
      </c>
      <c r="G769" s="64">
        <f>15.2493 * CHOOSE(CONTROL!$C$22, $C$13, 100%, $E$13)</f>
        <v>15.2493</v>
      </c>
      <c r="H769" s="64">
        <f>25.2649* CHOOSE(CONTROL!$C$22, $C$13, 100%, $E$13)</f>
        <v>25.264900000000001</v>
      </c>
      <c r="I769" s="64">
        <f>25.2651 * CHOOSE(CONTROL!$C$22, $C$13, 100%, $E$13)</f>
        <v>25.2651</v>
      </c>
      <c r="J769" s="64">
        <f>15.2492 * CHOOSE(CONTROL!$C$22, $C$13, 100%, $E$13)</f>
        <v>15.2492</v>
      </c>
      <c r="K769" s="64">
        <f>15.2493 * CHOOSE(CONTROL!$C$22, $C$13, 100%, $E$13)</f>
        <v>15.2493</v>
      </c>
    </row>
    <row r="770" spans="1:11" ht="15">
      <c r="A770" s="13">
        <v>65075</v>
      </c>
      <c r="B770" s="63">
        <f>13.1295 * CHOOSE(CONTROL!$C$22, $C$13, 100%, $E$13)</f>
        <v>13.1295</v>
      </c>
      <c r="C770" s="63">
        <f>13.1295 * CHOOSE(CONTROL!$C$22, $C$13, 100%, $E$13)</f>
        <v>13.1295</v>
      </c>
      <c r="D770" s="63">
        <f>13.1494 * CHOOSE(CONTROL!$C$22, $C$13, 100%, $E$13)</f>
        <v>13.1494</v>
      </c>
      <c r="E770" s="64">
        <f>15.3801 * CHOOSE(CONTROL!$C$22, $C$13, 100%, $E$13)</f>
        <v>15.380100000000001</v>
      </c>
      <c r="F770" s="64">
        <f>15.3801 * CHOOSE(CONTROL!$C$22, $C$13, 100%, $E$13)</f>
        <v>15.380100000000001</v>
      </c>
      <c r="G770" s="64">
        <f>15.3802 * CHOOSE(CONTROL!$C$22, $C$13, 100%, $E$13)</f>
        <v>15.3802</v>
      </c>
      <c r="H770" s="64">
        <f>25.3175* CHOOSE(CONTROL!$C$22, $C$13, 100%, $E$13)</f>
        <v>25.317499999999999</v>
      </c>
      <c r="I770" s="64">
        <f>25.3177 * CHOOSE(CONTROL!$C$22, $C$13, 100%, $E$13)</f>
        <v>25.317699999999999</v>
      </c>
      <c r="J770" s="64">
        <f>15.3801 * CHOOSE(CONTROL!$C$22, $C$13, 100%, $E$13)</f>
        <v>15.380100000000001</v>
      </c>
      <c r="K770" s="64">
        <f>15.3802 * CHOOSE(CONTROL!$C$22, $C$13, 100%, $E$13)</f>
        <v>15.3802</v>
      </c>
    </row>
    <row r="771" spans="1:11" ht="15">
      <c r="A771" s="13">
        <v>65106</v>
      </c>
      <c r="B771" s="63">
        <f>13.1349 * CHOOSE(CONTROL!$C$22, $C$13, 100%, $E$13)</f>
        <v>13.1349</v>
      </c>
      <c r="C771" s="63">
        <f>13.1349 * CHOOSE(CONTROL!$C$22, $C$13, 100%, $E$13)</f>
        <v>13.1349</v>
      </c>
      <c r="D771" s="63">
        <f>13.1549 * CHOOSE(CONTROL!$C$22, $C$13, 100%, $E$13)</f>
        <v>13.1549</v>
      </c>
      <c r="E771" s="64">
        <f>15.5187 * CHOOSE(CONTROL!$C$22, $C$13, 100%, $E$13)</f>
        <v>15.518700000000001</v>
      </c>
      <c r="F771" s="64">
        <f>15.5187 * CHOOSE(CONTROL!$C$22, $C$13, 100%, $E$13)</f>
        <v>15.518700000000001</v>
      </c>
      <c r="G771" s="64">
        <f>15.5189 * CHOOSE(CONTROL!$C$22, $C$13, 100%, $E$13)</f>
        <v>15.5189</v>
      </c>
      <c r="H771" s="64">
        <f>25.3703* CHOOSE(CONTROL!$C$22, $C$13, 100%, $E$13)</f>
        <v>25.3703</v>
      </c>
      <c r="I771" s="64">
        <f>25.3704 * CHOOSE(CONTROL!$C$22, $C$13, 100%, $E$13)</f>
        <v>25.3704</v>
      </c>
      <c r="J771" s="64">
        <f>15.5187 * CHOOSE(CONTROL!$C$22, $C$13, 100%, $E$13)</f>
        <v>15.518700000000001</v>
      </c>
      <c r="K771" s="64">
        <f>15.5189 * CHOOSE(CONTROL!$C$22, $C$13, 100%, $E$13)</f>
        <v>15.5189</v>
      </c>
    </row>
    <row r="772" spans="1:11" ht="15">
      <c r="A772" s="13">
        <v>65136</v>
      </c>
      <c r="B772" s="63">
        <f>13.1349 * CHOOSE(CONTROL!$C$22, $C$13, 100%, $E$13)</f>
        <v>13.1349</v>
      </c>
      <c r="C772" s="63">
        <f>13.1349 * CHOOSE(CONTROL!$C$22, $C$13, 100%, $E$13)</f>
        <v>13.1349</v>
      </c>
      <c r="D772" s="63">
        <f>13.1749 * CHOOSE(CONTROL!$C$22, $C$13, 100%, $E$13)</f>
        <v>13.174899999999999</v>
      </c>
      <c r="E772" s="64">
        <f>15.5722 * CHOOSE(CONTROL!$C$22, $C$13, 100%, $E$13)</f>
        <v>15.5722</v>
      </c>
      <c r="F772" s="64">
        <f>15.5722 * CHOOSE(CONTROL!$C$22, $C$13, 100%, $E$13)</f>
        <v>15.5722</v>
      </c>
      <c r="G772" s="64">
        <f>15.5747 * CHOOSE(CONTROL!$C$22, $C$13, 100%, $E$13)</f>
        <v>15.5747</v>
      </c>
      <c r="H772" s="64">
        <f>25.4231* CHOOSE(CONTROL!$C$22, $C$13, 100%, $E$13)</f>
        <v>25.423100000000002</v>
      </c>
      <c r="I772" s="64">
        <f>25.4256 * CHOOSE(CONTROL!$C$22, $C$13, 100%, $E$13)</f>
        <v>25.425599999999999</v>
      </c>
      <c r="J772" s="64">
        <f>15.5722 * CHOOSE(CONTROL!$C$22, $C$13, 100%, $E$13)</f>
        <v>15.5722</v>
      </c>
      <c r="K772" s="64">
        <f>15.5747 * CHOOSE(CONTROL!$C$22, $C$13, 100%, $E$13)</f>
        <v>15.5747</v>
      </c>
    </row>
    <row r="773" spans="1:11" ht="15">
      <c r="A773" s="13">
        <v>65167</v>
      </c>
      <c r="B773" s="63">
        <f>13.141 * CHOOSE(CONTROL!$C$22, $C$13, 100%, $E$13)</f>
        <v>13.141</v>
      </c>
      <c r="C773" s="63">
        <f>13.141 * CHOOSE(CONTROL!$C$22, $C$13, 100%, $E$13)</f>
        <v>13.141</v>
      </c>
      <c r="D773" s="63">
        <f>13.1809 * CHOOSE(CONTROL!$C$22, $C$13, 100%, $E$13)</f>
        <v>13.180899999999999</v>
      </c>
      <c r="E773" s="64">
        <f>15.5229 * CHOOSE(CONTROL!$C$22, $C$13, 100%, $E$13)</f>
        <v>15.5229</v>
      </c>
      <c r="F773" s="64">
        <f>15.5229 * CHOOSE(CONTROL!$C$22, $C$13, 100%, $E$13)</f>
        <v>15.5229</v>
      </c>
      <c r="G773" s="64">
        <f>15.5254 * CHOOSE(CONTROL!$C$22, $C$13, 100%, $E$13)</f>
        <v>15.525399999999999</v>
      </c>
      <c r="H773" s="64">
        <f>25.4761* CHOOSE(CONTROL!$C$22, $C$13, 100%, $E$13)</f>
        <v>25.476099999999999</v>
      </c>
      <c r="I773" s="64">
        <f>25.4785 * CHOOSE(CONTROL!$C$22, $C$13, 100%, $E$13)</f>
        <v>25.4785</v>
      </c>
      <c r="J773" s="64">
        <f>15.5229 * CHOOSE(CONTROL!$C$22, $C$13, 100%, $E$13)</f>
        <v>15.5229</v>
      </c>
      <c r="K773" s="64">
        <f>15.5254 * CHOOSE(CONTROL!$C$22, $C$13, 100%, $E$13)</f>
        <v>15.525399999999999</v>
      </c>
    </row>
    <row r="774" spans="1:11" ht="15">
      <c r="A774" s="13">
        <v>65197</v>
      </c>
      <c r="B774" s="63">
        <f>13.3479 * CHOOSE(CONTROL!$C$22, $C$13, 100%, $E$13)</f>
        <v>13.347899999999999</v>
      </c>
      <c r="C774" s="63">
        <f>13.3479 * CHOOSE(CONTROL!$C$22, $C$13, 100%, $E$13)</f>
        <v>13.347899999999999</v>
      </c>
      <c r="D774" s="63">
        <f>13.3879 * CHOOSE(CONTROL!$C$22, $C$13, 100%, $E$13)</f>
        <v>13.3879</v>
      </c>
      <c r="E774" s="64">
        <f>15.8193 * CHOOSE(CONTROL!$C$22, $C$13, 100%, $E$13)</f>
        <v>15.8193</v>
      </c>
      <c r="F774" s="64">
        <f>15.8193 * CHOOSE(CONTROL!$C$22, $C$13, 100%, $E$13)</f>
        <v>15.8193</v>
      </c>
      <c r="G774" s="64">
        <f>15.8217 * CHOOSE(CONTROL!$C$22, $C$13, 100%, $E$13)</f>
        <v>15.8217</v>
      </c>
      <c r="H774" s="64">
        <f>25.5291* CHOOSE(CONTROL!$C$22, $C$13, 100%, $E$13)</f>
        <v>25.5291</v>
      </c>
      <c r="I774" s="64">
        <f>25.5316 * CHOOSE(CONTROL!$C$22, $C$13, 100%, $E$13)</f>
        <v>25.531600000000001</v>
      </c>
      <c r="J774" s="64">
        <f>15.8193 * CHOOSE(CONTROL!$C$22, $C$13, 100%, $E$13)</f>
        <v>15.8193</v>
      </c>
      <c r="K774" s="64">
        <f>15.8217 * CHOOSE(CONTROL!$C$22, $C$13, 100%, $E$13)</f>
        <v>15.8217</v>
      </c>
    </row>
    <row r="775" spans="1:11" ht="15">
      <c r="A775" s="13">
        <v>65228</v>
      </c>
      <c r="B775" s="63">
        <f>13.3546 * CHOOSE(CONTROL!$C$22, $C$13, 100%, $E$13)</f>
        <v>13.3546</v>
      </c>
      <c r="C775" s="63">
        <f>13.3546 * CHOOSE(CONTROL!$C$22, $C$13, 100%, $E$13)</f>
        <v>13.3546</v>
      </c>
      <c r="D775" s="63">
        <f>13.3946 * CHOOSE(CONTROL!$C$22, $C$13, 100%, $E$13)</f>
        <v>13.394600000000001</v>
      </c>
      <c r="E775" s="64">
        <f>15.6632 * CHOOSE(CONTROL!$C$22, $C$13, 100%, $E$13)</f>
        <v>15.6632</v>
      </c>
      <c r="F775" s="64">
        <f>15.6632 * CHOOSE(CONTROL!$C$22, $C$13, 100%, $E$13)</f>
        <v>15.6632</v>
      </c>
      <c r="G775" s="64">
        <f>15.6657 * CHOOSE(CONTROL!$C$22, $C$13, 100%, $E$13)</f>
        <v>15.665699999999999</v>
      </c>
      <c r="H775" s="64">
        <f>25.5823* CHOOSE(CONTROL!$C$22, $C$13, 100%, $E$13)</f>
        <v>25.5823</v>
      </c>
      <c r="I775" s="64">
        <f>25.5848 * CHOOSE(CONTROL!$C$22, $C$13, 100%, $E$13)</f>
        <v>25.584800000000001</v>
      </c>
      <c r="J775" s="64">
        <f>15.6632 * CHOOSE(CONTROL!$C$22, $C$13, 100%, $E$13)</f>
        <v>15.6632</v>
      </c>
      <c r="K775" s="64">
        <f>15.6657 * CHOOSE(CONTROL!$C$22, $C$13, 100%, $E$13)</f>
        <v>15.665699999999999</v>
      </c>
    </row>
    <row r="776" spans="1:11" ht="15">
      <c r="A776" s="13">
        <v>65259</v>
      </c>
      <c r="B776" s="63">
        <f>13.3516 * CHOOSE(CONTROL!$C$22, $C$13, 100%, $E$13)</f>
        <v>13.351599999999999</v>
      </c>
      <c r="C776" s="63">
        <f>13.3516 * CHOOSE(CONTROL!$C$22, $C$13, 100%, $E$13)</f>
        <v>13.351599999999999</v>
      </c>
      <c r="D776" s="63">
        <f>13.3915 * CHOOSE(CONTROL!$C$22, $C$13, 100%, $E$13)</f>
        <v>13.391500000000001</v>
      </c>
      <c r="E776" s="64">
        <f>15.6433 * CHOOSE(CONTROL!$C$22, $C$13, 100%, $E$13)</f>
        <v>15.6433</v>
      </c>
      <c r="F776" s="64">
        <f>15.6433 * CHOOSE(CONTROL!$C$22, $C$13, 100%, $E$13)</f>
        <v>15.6433</v>
      </c>
      <c r="G776" s="64">
        <f>15.6457 * CHOOSE(CONTROL!$C$22, $C$13, 100%, $E$13)</f>
        <v>15.6457</v>
      </c>
      <c r="H776" s="64">
        <f>25.6356* CHOOSE(CONTROL!$C$22, $C$13, 100%, $E$13)</f>
        <v>25.6356</v>
      </c>
      <c r="I776" s="64">
        <f>25.6381 * CHOOSE(CONTROL!$C$22, $C$13, 100%, $E$13)</f>
        <v>25.638100000000001</v>
      </c>
      <c r="J776" s="64">
        <f>15.6433 * CHOOSE(CONTROL!$C$22, $C$13, 100%, $E$13)</f>
        <v>15.6433</v>
      </c>
      <c r="K776" s="64">
        <f>15.6457 * CHOOSE(CONTROL!$C$22, $C$13, 100%, $E$13)</f>
        <v>15.6457</v>
      </c>
    </row>
    <row r="777" spans="1:11" ht="15">
      <c r="A777" s="13">
        <v>65289</v>
      </c>
      <c r="B777" s="63">
        <f>13.3774 * CHOOSE(CONTROL!$C$22, $C$13, 100%, $E$13)</f>
        <v>13.3774</v>
      </c>
      <c r="C777" s="63">
        <f>13.3774 * CHOOSE(CONTROL!$C$22, $C$13, 100%, $E$13)</f>
        <v>13.3774</v>
      </c>
      <c r="D777" s="63">
        <f>13.3974 * CHOOSE(CONTROL!$C$22, $C$13, 100%, $E$13)</f>
        <v>13.397399999999999</v>
      </c>
      <c r="E777" s="64">
        <f>15.7013 * CHOOSE(CONTROL!$C$22, $C$13, 100%, $E$13)</f>
        <v>15.7013</v>
      </c>
      <c r="F777" s="64">
        <f>15.7013 * CHOOSE(CONTROL!$C$22, $C$13, 100%, $E$13)</f>
        <v>15.7013</v>
      </c>
      <c r="G777" s="64">
        <f>15.7015 * CHOOSE(CONTROL!$C$22, $C$13, 100%, $E$13)</f>
        <v>15.701499999999999</v>
      </c>
      <c r="H777" s="64">
        <f>25.689* CHOOSE(CONTROL!$C$22, $C$13, 100%, $E$13)</f>
        <v>25.689</v>
      </c>
      <c r="I777" s="64">
        <f>25.6892 * CHOOSE(CONTROL!$C$22, $C$13, 100%, $E$13)</f>
        <v>25.6892</v>
      </c>
      <c r="J777" s="64">
        <f>15.7013 * CHOOSE(CONTROL!$C$22, $C$13, 100%, $E$13)</f>
        <v>15.7013</v>
      </c>
      <c r="K777" s="64">
        <f>15.7015 * CHOOSE(CONTROL!$C$22, $C$13, 100%, $E$13)</f>
        <v>15.701499999999999</v>
      </c>
    </row>
    <row r="778" spans="1:11" ht="15">
      <c r="A778" s="13">
        <v>65320</v>
      </c>
      <c r="B778" s="63">
        <f>13.3804 * CHOOSE(CONTROL!$C$22, $C$13, 100%, $E$13)</f>
        <v>13.3804</v>
      </c>
      <c r="C778" s="63">
        <f>13.3804 * CHOOSE(CONTROL!$C$22, $C$13, 100%, $E$13)</f>
        <v>13.3804</v>
      </c>
      <c r="D778" s="63">
        <f>13.4004 * CHOOSE(CONTROL!$C$22, $C$13, 100%, $E$13)</f>
        <v>13.400399999999999</v>
      </c>
      <c r="E778" s="64">
        <f>15.7391 * CHOOSE(CONTROL!$C$22, $C$13, 100%, $E$13)</f>
        <v>15.739100000000001</v>
      </c>
      <c r="F778" s="64">
        <f>15.7391 * CHOOSE(CONTROL!$C$22, $C$13, 100%, $E$13)</f>
        <v>15.739100000000001</v>
      </c>
      <c r="G778" s="64">
        <f>15.7393 * CHOOSE(CONTROL!$C$22, $C$13, 100%, $E$13)</f>
        <v>15.7393</v>
      </c>
      <c r="H778" s="64">
        <f>25.7426* CHOOSE(CONTROL!$C$22, $C$13, 100%, $E$13)</f>
        <v>25.742599999999999</v>
      </c>
      <c r="I778" s="64">
        <f>25.7427 * CHOOSE(CONTROL!$C$22, $C$13, 100%, $E$13)</f>
        <v>25.742699999999999</v>
      </c>
      <c r="J778" s="64">
        <f>15.7391 * CHOOSE(CONTROL!$C$22, $C$13, 100%, $E$13)</f>
        <v>15.739100000000001</v>
      </c>
      <c r="K778" s="64">
        <f>15.7393 * CHOOSE(CONTROL!$C$22, $C$13, 100%, $E$13)</f>
        <v>15.7393</v>
      </c>
    </row>
    <row r="779" spans="1:11" ht="15">
      <c r="A779" s="13">
        <v>65350</v>
      </c>
      <c r="B779" s="63">
        <f>13.3804 * CHOOSE(CONTROL!$C$22, $C$13, 100%, $E$13)</f>
        <v>13.3804</v>
      </c>
      <c r="C779" s="63">
        <f>13.3804 * CHOOSE(CONTROL!$C$22, $C$13, 100%, $E$13)</f>
        <v>13.3804</v>
      </c>
      <c r="D779" s="63">
        <f>13.4004 * CHOOSE(CONTROL!$C$22, $C$13, 100%, $E$13)</f>
        <v>13.400399999999999</v>
      </c>
      <c r="E779" s="64">
        <f>15.6498 * CHOOSE(CONTROL!$C$22, $C$13, 100%, $E$13)</f>
        <v>15.649800000000001</v>
      </c>
      <c r="F779" s="64">
        <f>15.6498 * CHOOSE(CONTROL!$C$22, $C$13, 100%, $E$13)</f>
        <v>15.649800000000001</v>
      </c>
      <c r="G779" s="64">
        <f>15.65 * CHOOSE(CONTROL!$C$22, $C$13, 100%, $E$13)</f>
        <v>15.65</v>
      </c>
      <c r="H779" s="64">
        <f>25.7962* CHOOSE(CONTROL!$C$22, $C$13, 100%, $E$13)</f>
        <v>25.796199999999999</v>
      </c>
      <c r="I779" s="64">
        <f>25.7964 * CHOOSE(CONTROL!$C$22, $C$13, 100%, $E$13)</f>
        <v>25.796399999999998</v>
      </c>
      <c r="J779" s="64">
        <f>15.6498 * CHOOSE(CONTROL!$C$22, $C$13, 100%, $E$13)</f>
        <v>15.649800000000001</v>
      </c>
      <c r="K779" s="64">
        <f>15.65 * CHOOSE(CONTROL!$C$22, $C$13, 100%, $E$13)</f>
        <v>15.65</v>
      </c>
    </row>
    <row r="780" spans="1:11" ht="15">
      <c r="A780" s="13">
        <v>65381</v>
      </c>
      <c r="B780" s="63">
        <f>13.3809 * CHOOSE(CONTROL!$C$22, $C$13, 100%, $E$13)</f>
        <v>13.3809</v>
      </c>
      <c r="C780" s="63">
        <f>13.3809 * CHOOSE(CONTROL!$C$22, $C$13, 100%, $E$13)</f>
        <v>13.3809</v>
      </c>
      <c r="D780" s="63">
        <f>13.4008 * CHOOSE(CONTROL!$C$22, $C$13, 100%, $E$13)</f>
        <v>13.4008</v>
      </c>
      <c r="E780" s="64">
        <f>15.7124 * CHOOSE(CONTROL!$C$22, $C$13, 100%, $E$13)</f>
        <v>15.712400000000001</v>
      </c>
      <c r="F780" s="64">
        <f>15.7124 * CHOOSE(CONTROL!$C$22, $C$13, 100%, $E$13)</f>
        <v>15.712400000000001</v>
      </c>
      <c r="G780" s="64">
        <f>15.7126 * CHOOSE(CONTROL!$C$22, $C$13, 100%, $E$13)</f>
        <v>15.7126</v>
      </c>
      <c r="H780" s="64">
        <f>25.6582* CHOOSE(CONTROL!$C$22, $C$13, 100%, $E$13)</f>
        <v>25.658200000000001</v>
      </c>
      <c r="I780" s="64">
        <f>25.6584 * CHOOSE(CONTROL!$C$22, $C$13, 100%, $E$13)</f>
        <v>25.6584</v>
      </c>
      <c r="J780" s="64">
        <f>15.7124 * CHOOSE(CONTROL!$C$22, $C$13, 100%, $E$13)</f>
        <v>15.712400000000001</v>
      </c>
      <c r="K780" s="64">
        <f>15.7126 * CHOOSE(CONTROL!$C$22, $C$13, 100%, $E$13)</f>
        <v>15.7126</v>
      </c>
    </row>
    <row r="781" spans="1:11" ht="15">
      <c r="A781" s="13">
        <v>65412</v>
      </c>
      <c r="B781" s="63">
        <f>13.3778 * CHOOSE(CONTROL!$C$22, $C$13, 100%, $E$13)</f>
        <v>13.377800000000001</v>
      </c>
      <c r="C781" s="63">
        <f>13.3778 * CHOOSE(CONTROL!$C$22, $C$13, 100%, $E$13)</f>
        <v>13.377800000000001</v>
      </c>
      <c r="D781" s="63">
        <f>13.3978 * CHOOSE(CONTROL!$C$22, $C$13, 100%, $E$13)</f>
        <v>13.3978</v>
      </c>
      <c r="E781" s="64">
        <f>15.5384 * CHOOSE(CONTROL!$C$22, $C$13, 100%, $E$13)</f>
        <v>15.538399999999999</v>
      </c>
      <c r="F781" s="64">
        <f>15.5384 * CHOOSE(CONTROL!$C$22, $C$13, 100%, $E$13)</f>
        <v>15.538399999999999</v>
      </c>
      <c r="G781" s="64">
        <f>15.5385 * CHOOSE(CONTROL!$C$22, $C$13, 100%, $E$13)</f>
        <v>15.538500000000001</v>
      </c>
      <c r="H781" s="64">
        <f>25.7117* CHOOSE(CONTROL!$C$22, $C$13, 100%, $E$13)</f>
        <v>25.7117</v>
      </c>
      <c r="I781" s="64">
        <f>25.7119 * CHOOSE(CONTROL!$C$22, $C$13, 100%, $E$13)</f>
        <v>25.7119</v>
      </c>
      <c r="J781" s="64">
        <f>15.5384 * CHOOSE(CONTROL!$C$22, $C$13, 100%, $E$13)</f>
        <v>15.538399999999999</v>
      </c>
      <c r="K781" s="64">
        <f>15.5385 * CHOOSE(CONTROL!$C$22, $C$13, 100%, $E$13)</f>
        <v>15.538500000000001</v>
      </c>
    </row>
    <row r="782" spans="1:11" ht="15">
      <c r="A782" s="13">
        <v>65440</v>
      </c>
      <c r="B782" s="63">
        <f>13.3748 * CHOOSE(CONTROL!$C$22, $C$13, 100%, $E$13)</f>
        <v>13.3748</v>
      </c>
      <c r="C782" s="63">
        <f>13.3748 * CHOOSE(CONTROL!$C$22, $C$13, 100%, $E$13)</f>
        <v>13.3748</v>
      </c>
      <c r="D782" s="63">
        <f>13.3947 * CHOOSE(CONTROL!$C$22, $C$13, 100%, $E$13)</f>
        <v>13.3947</v>
      </c>
      <c r="E782" s="64">
        <f>15.6718 * CHOOSE(CONTROL!$C$22, $C$13, 100%, $E$13)</f>
        <v>15.671799999999999</v>
      </c>
      <c r="F782" s="64">
        <f>15.6718 * CHOOSE(CONTROL!$C$22, $C$13, 100%, $E$13)</f>
        <v>15.671799999999999</v>
      </c>
      <c r="G782" s="64">
        <f>15.672 * CHOOSE(CONTROL!$C$22, $C$13, 100%, $E$13)</f>
        <v>15.672000000000001</v>
      </c>
      <c r="H782" s="64">
        <f>25.7653* CHOOSE(CONTROL!$C$22, $C$13, 100%, $E$13)</f>
        <v>25.7653</v>
      </c>
      <c r="I782" s="64">
        <f>25.7654 * CHOOSE(CONTROL!$C$22, $C$13, 100%, $E$13)</f>
        <v>25.7654</v>
      </c>
      <c r="J782" s="64">
        <f>15.6718 * CHOOSE(CONTROL!$C$22, $C$13, 100%, $E$13)</f>
        <v>15.671799999999999</v>
      </c>
      <c r="K782" s="64">
        <f>15.672 * CHOOSE(CONTROL!$C$22, $C$13, 100%, $E$13)</f>
        <v>15.672000000000001</v>
      </c>
    </row>
    <row r="783" spans="1:11" ht="15">
      <c r="A783" s="13">
        <v>65471</v>
      </c>
      <c r="B783" s="63">
        <f>13.3804 * CHOOSE(CONTROL!$C$22, $C$13, 100%, $E$13)</f>
        <v>13.3804</v>
      </c>
      <c r="C783" s="63">
        <f>13.3804 * CHOOSE(CONTROL!$C$22, $C$13, 100%, $E$13)</f>
        <v>13.3804</v>
      </c>
      <c r="D783" s="63">
        <f>13.4004 * CHOOSE(CONTROL!$C$22, $C$13, 100%, $E$13)</f>
        <v>13.400399999999999</v>
      </c>
      <c r="E783" s="64">
        <f>15.8131 * CHOOSE(CONTROL!$C$22, $C$13, 100%, $E$13)</f>
        <v>15.8131</v>
      </c>
      <c r="F783" s="64">
        <f>15.8131 * CHOOSE(CONTROL!$C$22, $C$13, 100%, $E$13)</f>
        <v>15.8131</v>
      </c>
      <c r="G783" s="64">
        <f>15.8133 * CHOOSE(CONTROL!$C$22, $C$13, 100%, $E$13)</f>
        <v>15.8133</v>
      </c>
      <c r="H783" s="64">
        <f>25.8189* CHOOSE(CONTROL!$C$22, $C$13, 100%, $E$13)</f>
        <v>25.818899999999999</v>
      </c>
      <c r="I783" s="64">
        <f>25.8191 * CHOOSE(CONTROL!$C$22, $C$13, 100%, $E$13)</f>
        <v>25.819099999999999</v>
      </c>
      <c r="J783" s="64">
        <f>15.8131 * CHOOSE(CONTROL!$C$22, $C$13, 100%, $E$13)</f>
        <v>15.8131</v>
      </c>
      <c r="K783" s="64">
        <f>15.8133 * CHOOSE(CONTROL!$C$22, $C$13, 100%, $E$13)</f>
        <v>15.8133</v>
      </c>
    </row>
    <row r="784" spans="1:11" ht="15">
      <c r="A784" s="13">
        <v>65501</v>
      </c>
      <c r="B784" s="63">
        <f>13.3804 * CHOOSE(CONTROL!$C$22, $C$13, 100%, $E$13)</f>
        <v>13.3804</v>
      </c>
      <c r="C784" s="63">
        <f>13.3804 * CHOOSE(CONTROL!$C$22, $C$13, 100%, $E$13)</f>
        <v>13.3804</v>
      </c>
      <c r="D784" s="63">
        <f>13.4204 * CHOOSE(CONTROL!$C$22, $C$13, 100%, $E$13)</f>
        <v>13.420400000000001</v>
      </c>
      <c r="E784" s="64">
        <f>15.8677 * CHOOSE(CONTROL!$C$22, $C$13, 100%, $E$13)</f>
        <v>15.867699999999999</v>
      </c>
      <c r="F784" s="64">
        <f>15.8677 * CHOOSE(CONTROL!$C$22, $C$13, 100%, $E$13)</f>
        <v>15.867699999999999</v>
      </c>
      <c r="G784" s="64">
        <f>15.8702 * CHOOSE(CONTROL!$C$22, $C$13, 100%, $E$13)</f>
        <v>15.870200000000001</v>
      </c>
      <c r="H784" s="64">
        <f>25.8727* CHOOSE(CONTROL!$C$22, $C$13, 100%, $E$13)</f>
        <v>25.872699999999998</v>
      </c>
      <c r="I784" s="64">
        <f>25.8752 * CHOOSE(CONTROL!$C$22, $C$13, 100%, $E$13)</f>
        <v>25.8752</v>
      </c>
      <c r="J784" s="64">
        <f>15.8677 * CHOOSE(CONTROL!$C$22, $C$13, 100%, $E$13)</f>
        <v>15.867699999999999</v>
      </c>
      <c r="K784" s="64">
        <f>15.8702 * CHOOSE(CONTROL!$C$22, $C$13, 100%, $E$13)</f>
        <v>15.870200000000001</v>
      </c>
    </row>
    <row r="785" spans="1:11" ht="15">
      <c r="A785" s="13">
        <v>65532</v>
      </c>
      <c r="B785" s="63">
        <f>13.3865 * CHOOSE(CONTROL!$C$22, $C$13, 100%, $E$13)</f>
        <v>13.3865</v>
      </c>
      <c r="C785" s="63">
        <f>13.3865 * CHOOSE(CONTROL!$C$22, $C$13, 100%, $E$13)</f>
        <v>13.3865</v>
      </c>
      <c r="D785" s="63">
        <f>13.4265 * CHOOSE(CONTROL!$C$22, $C$13, 100%, $E$13)</f>
        <v>13.426500000000001</v>
      </c>
      <c r="E785" s="64">
        <f>15.8174 * CHOOSE(CONTROL!$C$22, $C$13, 100%, $E$13)</f>
        <v>15.817399999999999</v>
      </c>
      <c r="F785" s="64">
        <f>15.8174 * CHOOSE(CONTROL!$C$22, $C$13, 100%, $E$13)</f>
        <v>15.817399999999999</v>
      </c>
      <c r="G785" s="64">
        <f>15.8198 * CHOOSE(CONTROL!$C$22, $C$13, 100%, $E$13)</f>
        <v>15.819800000000001</v>
      </c>
      <c r="H785" s="64">
        <f>25.9266* CHOOSE(CONTROL!$C$22, $C$13, 100%, $E$13)</f>
        <v>25.926600000000001</v>
      </c>
      <c r="I785" s="64">
        <f>25.9291 * CHOOSE(CONTROL!$C$22, $C$13, 100%, $E$13)</f>
        <v>25.929099999999998</v>
      </c>
      <c r="J785" s="64">
        <f>15.8174 * CHOOSE(CONTROL!$C$22, $C$13, 100%, $E$13)</f>
        <v>15.817399999999999</v>
      </c>
      <c r="K785" s="64">
        <f>15.8198 * CHOOSE(CONTROL!$C$22, $C$13, 100%, $E$13)</f>
        <v>15.819800000000001</v>
      </c>
    </row>
    <row r="786" spans="1:11" ht="15">
      <c r="A786" s="13">
        <v>65562</v>
      </c>
      <c r="B786" s="63">
        <f>13.5972 * CHOOSE(CONTROL!$C$22, $C$13, 100%, $E$13)</f>
        <v>13.597200000000001</v>
      </c>
      <c r="C786" s="63">
        <f>13.5972 * CHOOSE(CONTROL!$C$22, $C$13, 100%, $E$13)</f>
        <v>13.597200000000001</v>
      </c>
      <c r="D786" s="63">
        <f>13.6371 * CHOOSE(CONTROL!$C$22, $C$13, 100%, $E$13)</f>
        <v>13.6371</v>
      </c>
      <c r="E786" s="64">
        <f>16.1192 * CHOOSE(CONTROL!$C$22, $C$13, 100%, $E$13)</f>
        <v>16.119199999999999</v>
      </c>
      <c r="F786" s="64">
        <f>16.1192 * CHOOSE(CONTROL!$C$22, $C$13, 100%, $E$13)</f>
        <v>16.119199999999999</v>
      </c>
      <c r="G786" s="64">
        <f>16.1216 * CHOOSE(CONTROL!$C$22, $C$13, 100%, $E$13)</f>
        <v>16.121600000000001</v>
      </c>
      <c r="H786" s="64">
        <f>25.9806* CHOOSE(CONTROL!$C$22, $C$13, 100%, $E$13)</f>
        <v>25.980599999999999</v>
      </c>
      <c r="I786" s="64">
        <f>25.9831 * CHOOSE(CONTROL!$C$22, $C$13, 100%, $E$13)</f>
        <v>25.9831</v>
      </c>
      <c r="J786" s="64">
        <f>16.1192 * CHOOSE(CONTROL!$C$22, $C$13, 100%, $E$13)</f>
        <v>16.119199999999999</v>
      </c>
      <c r="K786" s="64">
        <f>16.1216 * CHOOSE(CONTROL!$C$22, $C$13, 100%, $E$13)</f>
        <v>16.121600000000001</v>
      </c>
    </row>
    <row r="787" spans="1:11" ht="15">
      <c r="A787" s="13">
        <v>65593</v>
      </c>
      <c r="B787" s="63">
        <f>13.6038 * CHOOSE(CONTROL!$C$22, $C$13, 100%, $E$13)</f>
        <v>13.6038</v>
      </c>
      <c r="C787" s="63">
        <f>13.6038 * CHOOSE(CONTROL!$C$22, $C$13, 100%, $E$13)</f>
        <v>13.6038</v>
      </c>
      <c r="D787" s="63">
        <f>13.6438 * CHOOSE(CONTROL!$C$22, $C$13, 100%, $E$13)</f>
        <v>13.643800000000001</v>
      </c>
      <c r="E787" s="64">
        <f>15.9601 * CHOOSE(CONTROL!$C$22, $C$13, 100%, $E$13)</f>
        <v>15.960100000000001</v>
      </c>
      <c r="F787" s="64">
        <f>15.9601 * CHOOSE(CONTROL!$C$22, $C$13, 100%, $E$13)</f>
        <v>15.960100000000001</v>
      </c>
      <c r="G787" s="64">
        <f>15.9625 * CHOOSE(CONTROL!$C$22, $C$13, 100%, $E$13)</f>
        <v>15.9625</v>
      </c>
      <c r="H787" s="64">
        <f>26.0348* CHOOSE(CONTROL!$C$22, $C$13, 100%, $E$13)</f>
        <v>26.034800000000001</v>
      </c>
      <c r="I787" s="64">
        <f>26.0372 * CHOOSE(CONTROL!$C$22, $C$13, 100%, $E$13)</f>
        <v>26.037199999999999</v>
      </c>
      <c r="J787" s="64">
        <f>15.9601 * CHOOSE(CONTROL!$C$22, $C$13, 100%, $E$13)</f>
        <v>15.960100000000001</v>
      </c>
      <c r="K787" s="64">
        <f>15.9625 * CHOOSE(CONTROL!$C$22, $C$13, 100%, $E$13)</f>
        <v>15.9625</v>
      </c>
    </row>
    <row r="788" spans="1:11" ht="15">
      <c r="A788" s="13">
        <v>65624</v>
      </c>
      <c r="B788" s="63">
        <f>13.6008 * CHOOSE(CONTROL!$C$22, $C$13, 100%, $E$13)</f>
        <v>13.6008</v>
      </c>
      <c r="C788" s="63">
        <f>13.6008 * CHOOSE(CONTROL!$C$22, $C$13, 100%, $E$13)</f>
        <v>13.6008</v>
      </c>
      <c r="D788" s="63">
        <f>13.6407 * CHOOSE(CONTROL!$C$22, $C$13, 100%, $E$13)</f>
        <v>13.640700000000001</v>
      </c>
      <c r="E788" s="64">
        <f>15.9398 * CHOOSE(CONTROL!$C$22, $C$13, 100%, $E$13)</f>
        <v>15.9398</v>
      </c>
      <c r="F788" s="64">
        <f>15.9398 * CHOOSE(CONTROL!$C$22, $C$13, 100%, $E$13)</f>
        <v>15.9398</v>
      </c>
      <c r="G788" s="64">
        <f>15.9422 * CHOOSE(CONTROL!$C$22, $C$13, 100%, $E$13)</f>
        <v>15.9422</v>
      </c>
      <c r="H788" s="64">
        <f>26.089* CHOOSE(CONTROL!$C$22, $C$13, 100%, $E$13)</f>
        <v>26.088999999999999</v>
      </c>
      <c r="I788" s="64">
        <f>26.0915 * CHOOSE(CONTROL!$C$22, $C$13, 100%, $E$13)</f>
        <v>26.0915</v>
      </c>
      <c r="J788" s="64">
        <f>15.9398 * CHOOSE(CONTROL!$C$22, $C$13, 100%, $E$13)</f>
        <v>15.9398</v>
      </c>
      <c r="K788" s="64">
        <f>15.9422 * CHOOSE(CONTROL!$C$22, $C$13, 100%, $E$13)</f>
        <v>15.9422</v>
      </c>
    </row>
    <row r="789" spans="1:11" ht="15">
      <c r="A789" s="13">
        <v>65654</v>
      </c>
      <c r="B789" s="63">
        <f>13.6274 * CHOOSE(CONTROL!$C$22, $C$13, 100%, $E$13)</f>
        <v>13.6274</v>
      </c>
      <c r="C789" s="63">
        <f>13.6274 * CHOOSE(CONTROL!$C$22, $C$13, 100%, $E$13)</f>
        <v>13.6274</v>
      </c>
      <c r="D789" s="63">
        <f>13.6474 * CHOOSE(CONTROL!$C$22, $C$13, 100%, $E$13)</f>
        <v>13.647399999999999</v>
      </c>
      <c r="E789" s="64">
        <f>15.9991 * CHOOSE(CONTROL!$C$22, $C$13, 100%, $E$13)</f>
        <v>15.9991</v>
      </c>
      <c r="F789" s="64">
        <f>15.9991 * CHOOSE(CONTROL!$C$22, $C$13, 100%, $E$13)</f>
        <v>15.9991</v>
      </c>
      <c r="G789" s="64">
        <f>15.9993 * CHOOSE(CONTROL!$C$22, $C$13, 100%, $E$13)</f>
        <v>15.9993</v>
      </c>
      <c r="H789" s="64">
        <f>26.1434* CHOOSE(CONTROL!$C$22, $C$13, 100%, $E$13)</f>
        <v>26.1434</v>
      </c>
      <c r="I789" s="64">
        <f>26.1435 * CHOOSE(CONTROL!$C$22, $C$13, 100%, $E$13)</f>
        <v>26.1435</v>
      </c>
      <c r="J789" s="64">
        <f>15.9991 * CHOOSE(CONTROL!$C$22, $C$13, 100%, $E$13)</f>
        <v>15.9991</v>
      </c>
      <c r="K789" s="64">
        <f>15.9993 * CHOOSE(CONTROL!$C$22, $C$13, 100%, $E$13)</f>
        <v>15.9993</v>
      </c>
    </row>
    <row r="790" spans="1:11" ht="15">
      <c r="A790" s="13">
        <v>65685</v>
      </c>
      <c r="B790" s="63">
        <f>13.6305 * CHOOSE(CONTROL!$C$22, $C$13, 100%, $E$13)</f>
        <v>13.6305</v>
      </c>
      <c r="C790" s="63">
        <f>13.6305 * CHOOSE(CONTROL!$C$22, $C$13, 100%, $E$13)</f>
        <v>13.6305</v>
      </c>
      <c r="D790" s="63">
        <f>13.6504 * CHOOSE(CONTROL!$C$22, $C$13, 100%, $E$13)</f>
        <v>13.650399999999999</v>
      </c>
      <c r="E790" s="64">
        <f>16.0376 * CHOOSE(CONTROL!$C$22, $C$13, 100%, $E$13)</f>
        <v>16.037600000000001</v>
      </c>
      <c r="F790" s="64">
        <f>16.0376 * CHOOSE(CONTROL!$C$22, $C$13, 100%, $E$13)</f>
        <v>16.037600000000001</v>
      </c>
      <c r="G790" s="64">
        <f>16.0378 * CHOOSE(CONTROL!$C$22, $C$13, 100%, $E$13)</f>
        <v>16.037800000000001</v>
      </c>
      <c r="H790" s="64">
        <f>26.1978* CHOOSE(CONTROL!$C$22, $C$13, 100%, $E$13)</f>
        <v>26.197800000000001</v>
      </c>
      <c r="I790" s="64">
        <f>26.198 * CHOOSE(CONTROL!$C$22, $C$13, 100%, $E$13)</f>
        <v>26.198</v>
      </c>
      <c r="J790" s="64">
        <f>16.0376 * CHOOSE(CONTROL!$C$22, $C$13, 100%, $E$13)</f>
        <v>16.037600000000001</v>
      </c>
      <c r="K790" s="64">
        <f>16.0378 * CHOOSE(CONTROL!$C$22, $C$13, 100%, $E$13)</f>
        <v>16.037800000000001</v>
      </c>
    </row>
    <row r="791" spans="1:11" ht="15">
      <c r="A791" s="13">
        <v>65715</v>
      </c>
      <c r="B791" s="63">
        <f>13.6305 * CHOOSE(CONTROL!$C$22, $C$13, 100%, $E$13)</f>
        <v>13.6305</v>
      </c>
      <c r="C791" s="63">
        <f>13.6305 * CHOOSE(CONTROL!$C$22, $C$13, 100%, $E$13)</f>
        <v>13.6305</v>
      </c>
      <c r="D791" s="63">
        <f>13.6504 * CHOOSE(CONTROL!$C$22, $C$13, 100%, $E$13)</f>
        <v>13.650399999999999</v>
      </c>
      <c r="E791" s="64">
        <f>15.9467 * CHOOSE(CONTROL!$C$22, $C$13, 100%, $E$13)</f>
        <v>15.9467</v>
      </c>
      <c r="F791" s="64">
        <f>15.9467 * CHOOSE(CONTROL!$C$22, $C$13, 100%, $E$13)</f>
        <v>15.9467</v>
      </c>
      <c r="G791" s="64">
        <f>15.9468 * CHOOSE(CONTROL!$C$22, $C$13, 100%, $E$13)</f>
        <v>15.9468</v>
      </c>
      <c r="H791" s="64">
        <f>26.2524* CHOOSE(CONTROL!$C$22, $C$13, 100%, $E$13)</f>
        <v>26.252400000000002</v>
      </c>
      <c r="I791" s="64">
        <f>26.2526 * CHOOSE(CONTROL!$C$22, $C$13, 100%, $E$13)</f>
        <v>26.252600000000001</v>
      </c>
      <c r="J791" s="64">
        <f>15.9467 * CHOOSE(CONTROL!$C$22, $C$13, 100%, $E$13)</f>
        <v>15.9467</v>
      </c>
      <c r="K791" s="64">
        <f>15.9468 * CHOOSE(CONTROL!$C$22, $C$13, 100%, $E$13)</f>
        <v>15.9468</v>
      </c>
    </row>
    <row r="792" spans="1:11" ht="15">
      <c r="A792" s="13">
        <v>65746</v>
      </c>
      <c r="B792" s="63">
        <f>13.6262 * CHOOSE(CONTROL!$C$22, $C$13, 100%, $E$13)</f>
        <v>13.626200000000001</v>
      </c>
      <c r="C792" s="63">
        <f>13.6262 * CHOOSE(CONTROL!$C$22, $C$13, 100%, $E$13)</f>
        <v>13.626200000000001</v>
      </c>
      <c r="D792" s="63">
        <f>13.6461 * CHOOSE(CONTROL!$C$22, $C$13, 100%, $E$13)</f>
        <v>13.646100000000001</v>
      </c>
      <c r="E792" s="64">
        <f>16.0048 * CHOOSE(CONTROL!$C$22, $C$13, 100%, $E$13)</f>
        <v>16.004799999999999</v>
      </c>
      <c r="F792" s="64">
        <f>16.0048 * CHOOSE(CONTROL!$C$22, $C$13, 100%, $E$13)</f>
        <v>16.004799999999999</v>
      </c>
      <c r="G792" s="64">
        <f>16.005 * CHOOSE(CONTROL!$C$22, $C$13, 100%, $E$13)</f>
        <v>16.004999999999999</v>
      </c>
      <c r="H792" s="64">
        <f>26.1041* CHOOSE(CONTROL!$C$22, $C$13, 100%, $E$13)</f>
        <v>26.104099999999999</v>
      </c>
      <c r="I792" s="64">
        <f>26.1043 * CHOOSE(CONTROL!$C$22, $C$13, 100%, $E$13)</f>
        <v>26.104299999999999</v>
      </c>
      <c r="J792" s="64">
        <f>16.0048 * CHOOSE(CONTROL!$C$22, $C$13, 100%, $E$13)</f>
        <v>16.004799999999999</v>
      </c>
      <c r="K792" s="64">
        <f>16.005 * CHOOSE(CONTROL!$C$22, $C$13, 100%, $E$13)</f>
        <v>16.004999999999999</v>
      </c>
    </row>
    <row r="793" spans="1:11" ht="15">
      <c r="A793" s="13">
        <v>65777</v>
      </c>
      <c r="B793" s="63">
        <f>13.6231 * CHOOSE(CONTROL!$C$22, $C$13, 100%, $E$13)</f>
        <v>13.623100000000001</v>
      </c>
      <c r="C793" s="63">
        <f>13.6231 * CHOOSE(CONTROL!$C$22, $C$13, 100%, $E$13)</f>
        <v>13.623100000000001</v>
      </c>
      <c r="D793" s="63">
        <f>13.6431 * CHOOSE(CONTROL!$C$22, $C$13, 100%, $E$13)</f>
        <v>13.6431</v>
      </c>
      <c r="E793" s="64">
        <f>15.8276 * CHOOSE(CONTROL!$C$22, $C$13, 100%, $E$13)</f>
        <v>15.8276</v>
      </c>
      <c r="F793" s="64">
        <f>15.8276 * CHOOSE(CONTROL!$C$22, $C$13, 100%, $E$13)</f>
        <v>15.8276</v>
      </c>
      <c r="G793" s="64">
        <f>15.8278 * CHOOSE(CONTROL!$C$22, $C$13, 100%, $E$13)</f>
        <v>15.8278</v>
      </c>
      <c r="H793" s="64">
        <f>26.1585* CHOOSE(CONTROL!$C$22, $C$13, 100%, $E$13)</f>
        <v>26.1585</v>
      </c>
      <c r="I793" s="64">
        <f>26.1587 * CHOOSE(CONTROL!$C$22, $C$13, 100%, $E$13)</f>
        <v>26.1587</v>
      </c>
      <c r="J793" s="64">
        <f>15.8276 * CHOOSE(CONTROL!$C$22, $C$13, 100%, $E$13)</f>
        <v>15.8276</v>
      </c>
      <c r="K793" s="64">
        <f>15.8278 * CHOOSE(CONTROL!$C$22, $C$13, 100%, $E$13)</f>
        <v>15.8278</v>
      </c>
    </row>
    <row r="794" spans="1:11" ht="15">
      <c r="A794" s="13">
        <v>65806</v>
      </c>
      <c r="B794" s="63">
        <f>13.6201 * CHOOSE(CONTROL!$C$22, $C$13, 100%, $E$13)</f>
        <v>13.620100000000001</v>
      </c>
      <c r="C794" s="63">
        <f>13.6201 * CHOOSE(CONTROL!$C$22, $C$13, 100%, $E$13)</f>
        <v>13.620100000000001</v>
      </c>
      <c r="D794" s="63">
        <f>13.6401 * CHOOSE(CONTROL!$C$22, $C$13, 100%, $E$13)</f>
        <v>13.6401</v>
      </c>
      <c r="E794" s="64">
        <f>15.9635 * CHOOSE(CONTROL!$C$22, $C$13, 100%, $E$13)</f>
        <v>15.9635</v>
      </c>
      <c r="F794" s="64">
        <f>15.9635 * CHOOSE(CONTROL!$C$22, $C$13, 100%, $E$13)</f>
        <v>15.9635</v>
      </c>
      <c r="G794" s="64">
        <f>15.9637 * CHOOSE(CONTROL!$C$22, $C$13, 100%, $E$13)</f>
        <v>15.963699999999999</v>
      </c>
      <c r="H794" s="64">
        <f>26.213* CHOOSE(CONTROL!$C$22, $C$13, 100%, $E$13)</f>
        <v>26.213000000000001</v>
      </c>
      <c r="I794" s="64">
        <f>26.2132 * CHOOSE(CONTROL!$C$22, $C$13, 100%, $E$13)</f>
        <v>26.213200000000001</v>
      </c>
      <c r="J794" s="64">
        <f>15.9635 * CHOOSE(CONTROL!$C$22, $C$13, 100%, $E$13)</f>
        <v>15.9635</v>
      </c>
      <c r="K794" s="64">
        <f>15.9637 * CHOOSE(CONTROL!$C$22, $C$13, 100%, $E$13)</f>
        <v>15.963699999999999</v>
      </c>
    </row>
    <row r="795" spans="1:11" ht="15">
      <c r="A795" s="13">
        <v>65837</v>
      </c>
      <c r="B795" s="63">
        <f>13.626 * CHOOSE(CONTROL!$C$22, $C$13, 100%, $E$13)</f>
        <v>13.625999999999999</v>
      </c>
      <c r="C795" s="63">
        <f>13.626 * CHOOSE(CONTROL!$C$22, $C$13, 100%, $E$13)</f>
        <v>13.625999999999999</v>
      </c>
      <c r="D795" s="63">
        <f>13.6459 * CHOOSE(CONTROL!$C$22, $C$13, 100%, $E$13)</f>
        <v>13.645899999999999</v>
      </c>
      <c r="E795" s="64">
        <f>16.1076 * CHOOSE(CONTROL!$C$22, $C$13, 100%, $E$13)</f>
        <v>16.107600000000001</v>
      </c>
      <c r="F795" s="64">
        <f>16.1076 * CHOOSE(CONTROL!$C$22, $C$13, 100%, $E$13)</f>
        <v>16.107600000000001</v>
      </c>
      <c r="G795" s="64">
        <f>16.1077 * CHOOSE(CONTROL!$C$22, $C$13, 100%, $E$13)</f>
        <v>16.107700000000001</v>
      </c>
      <c r="H795" s="64">
        <f>26.2676* CHOOSE(CONTROL!$C$22, $C$13, 100%, $E$13)</f>
        <v>26.267600000000002</v>
      </c>
      <c r="I795" s="64">
        <f>26.2678 * CHOOSE(CONTROL!$C$22, $C$13, 100%, $E$13)</f>
        <v>26.267800000000001</v>
      </c>
      <c r="J795" s="64">
        <f>16.1076 * CHOOSE(CONTROL!$C$22, $C$13, 100%, $E$13)</f>
        <v>16.107600000000001</v>
      </c>
      <c r="K795" s="64">
        <f>16.1077 * CHOOSE(CONTROL!$C$22, $C$13, 100%, $E$13)</f>
        <v>16.107700000000001</v>
      </c>
    </row>
    <row r="796" spans="1:11" ht="15">
      <c r="A796" s="13">
        <v>65867</v>
      </c>
      <c r="B796" s="63">
        <f>13.626 * CHOOSE(CONTROL!$C$22, $C$13, 100%, $E$13)</f>
        <v>13.625999999999999</v>
      </c>
      <c r="C796" s="63">
        <f>13.626 * CHOOSE(CONTROL!$C$22, $C$13, 100%, $E$13)</f>
        <v>13.625999999999999</v>
      </c>
      <c r="D796" s="63">
        <f>13.6659 * CHOOSE(CONTROL!$C$22, $C$13, 100%, $E$13)</f>
        <v>13.665900000000001</v>
      </c>
      <c r="E796" s="64">
        <f>16.1632 * CHOOSE(CONTROL!$C$22, $C$13, 100%, $E$13)</f>
        <v>16.1632</v>
      </c>
      <c r="F796" s="64">
        <f>16.1632 * CHOOSE(CONTROL!$C$22, $C$13, 100%, $E$13)</f>
        <v>16.1632</v>
      </c>
      <c r="G796" s="64">
        <f>16.1656 * CHOOSE(CONTROL!$C$22, $C$13, 100%, $E$13)</f>
        <v>16.165600000000001</v>
      </c>
      <c r="H796" s="64">
        <f>26.3223* CHOOSE(CONTROL!$C$22, $C$13, 100%, $E$13)</f>
        <v>26.322299999999998</v>
      </c>
      <c r="I796" s="64">
        <f>26.3248 * CHOOSE(CONTROL!$C$22, $C$13, 100%, $E$13)</f>
        <v>26.3248</v>
      </c>
      <c r="J796" s="64">
        <f>16.1632 * CHOOSE(CONTROL!$C$22, $C$13, 100%, $E$13)</f>
        <v>16.1632</v>
      </c>
      <c r="K796" s="64">
        <f>16.1656 * CHOOSE(CONTROL!$C$22, $C$13, 100%, $E$13)</f>
        <v>16.165600000000001</v>
      </c>
    </row>
    <row r="797" spans="1:11" ht="15">
      <c r="A797" s="13">
        <v>65898</v>
      </c>
      <c r="B797" s="63">
        <f>13.6321 * CHOOSE(CONTROL!$C$22, $C$13, 100%, $E$13)</f>
        <v>13.632099999999999</v>
      </c>
      <c r="C797" s="63">
        <f>13.6321 * CHOOSE(CONTROL!$C$22, $C$13, 100%, $E$13)</f>
        <v>13.632099999999999</v>
      </c>
      <c r="D797" s="63">
        <f>13.672 * CHOOSE(CONTROL!$C$22, $C$13, 100%, $E$13)</f>
        <v>13.672000000000001</v>
      </c>
      <c r="E797" s="64">
        <f>16.1118 * CHOOSE(CONTROL!$C$22, $C$13, 100%, $E$13)</f>
        <v>16.111799999999999</v>
      </c>
      <c r="F797" s="64">
        <f>16.1118 * CHOOSE(CONTROL!$C$22, $C$13, 100%, $E$13)</f>
        <v>16.111799999999999</v>
      </c>
      <c r="G797" s="64">
        <f>16.1143 * CHOOSE(CONTROL!$C$22, $C$13, 100%, $E$13)</f>
        <v>16.1143</v>
      </c>
      <c r="H797" s="64">
        <f>26.3772* CHOOSE(CONTROL!$C$22, $C$13, 100%, $E$13)</f>
        <v>26.377199999999998</v>
      </c>
      <c r="I797" s="64">
        <f>26.3796 * CHOOSE(CONTROL!$C$22, $C$13, 100%, $E$13)</f>
        <v>26.3796</v>
      </c>
      <c r="J797" s="64">
        <f>16.1118 * CHOOSE(CONTROL!$C$22, $C$13, 100%, $E$13)</f>
        <v>16.111799999999999</v>
      </c>
      <c r="K797" s="64">
        <f>16.1143 * CHOOSE(CONTROL!$C$22, $C$13, 100%, $E$13)</f>
        <v>16.1143</v>
      </c>
    </row>
    <row r="798" spans="1:11" ht="15">
      <c r="A798" s="13">
        <v>65928</v>
      </c>
      <c r="B798" s="63">
        <f>13.8464 * CHOOSE(CONTROL!$C$22, $C$13, 100%, $E$13)</f>
        <v>13.846399999999999</v>
      </c>
      <c r="C798" s="63">
        <f>13.8464 * CHOOSE(CONTROL!$C$22, $C$13, 100%, $E$13)</f>
        <v>13.846399999999999</v>
      </c>
      <c r="D798" s="63">
        <f>13.8863 * CHOOSE(CONTROL!$C$22, $C$13, 100%, $E$13)</f>
        <v>13.8863</v>
      </c>
      <c r="E798" s="64">
        <f>16.4191 * CHOOSE(CONTROL!$C$22, $C$13, 100%, $E$13)</f>
        <v>16.4191</v>
      </c>
      <c r="F798" s="64">
        <f>16.4191 * CHOOSE(CONTROL!$C$22, $C$13, 100%, $E$13)</f>
        <v>16.4191</v>
      </c>
      <c r="G798" s="64">
        <f>16.4215 * CHOOSE(CONTROL!$C$22, $C$13, 100%, $E$13)</f>
        <v>16.421500000000002</v>
      </c>
      <c r="H798" s="64">
        <f>26.4321* CHOOSE(CONTROL!$C$22, $C$13, 100%, $E$13)</f>
        <v>26.432099999999998</v>
      </c>
      <c r="I798" s="64">
        <f>26.4346 * CHOOSE(CONTROL!$C$22, $C$13, 100%, $E$13)</f>
        <v>26.4346</v>
      </c>
      <c r="J798" s="64">
        <f>16.4191 * CHOOSE(CONTROL!$C$22, $C$13, 100%, $E$13)</f>
        <v>16.4191</v>
      </c>
      <c r="K798" s="64">
        <f>16.4215 * CHOOSE(CONTROL!$C$22, $C$13, 100%, $E$13)</f>
        <v>16.421500000000002</v>
      </c>
    </row>
    <row r="799" spans="1:11" ht="15">
      <c r="A799" s="13">
        <v>65959</v>
      </c>
      <c r="B799" s="63">
        <f>13.8531 * CHOOSE(CONTROL!$C$22, $C$13, 100%, $E$13)</f>
        <v>13.8531</v>
      </c>
      <c r="C799" s="63">
        <f>13.8531 * CHOOSE(CONTROL!$C$22, $C$13, 100%, $E$13)</f>
        <v>13.8531</v>
      </c>
      <c r="D799" s="63">
        <f>13.893 * CHOOSE(CONTROL!$C$22, $C$13, 100%, $E$13)</f>
        <v>13.893000000000001</v>
      </c>
      <c r="E799" s="64">
        <f>16.2569 * CHOOSE(CONTROL!$C$22, $C$13, 100%, $E$13)</f>
        <v>16.256900000000002</v>
      </c>
      <c r="F799" s="64">
        <f>16.2569 * CHOOSE(CONTROL!$C$22, $C$13, 100%, $E$13)</f>
        <v>16.256900000000002</v>
      </c>
      <c r="G799" s="64">
        <f>16.2593 * CHOOSE(CONTROL!$C$22, $C$13, 100%, $E$13)</f>
        <v>16.2593</v>
      </c>
      <c r="H799" s="64">
        <f>26.4872* CHOOSE(CONTROL!$C$22, $C$13, 100%, $E$13)</f>
        <v>26.487200000000001</v>
      </c>
      <c r="I799" s="64">
        <f>26.4896 * CHOOSE(CONTROL!$C$22, $C$13, 100%, $E$13)</f>
        <v>26.489599999999999</v>
      </c>
      <c r="J799" s="64">
        <f>16.2569 * CHOOSE(CONTROL!$C$22, $C$13, 100%, $E$13)</f>
        <v>16.256900000000002</v>
      </c>
      <c r="K799" s="64">
        <f>16.2593 * CHOOSE(CONTROL!$C$22, $C$13, 100%, $E$13)</f>
        <v>16.2593</v>
      </c>
    </row>
    <row r="800" spans="1:11" ht="15">
      <c r="A800" s="13">
        <v>65990</v>
      </c>
      <c r="B800" s="63">
        <f>13.85 * CHOOSE(CONTROL!$C$22, $C$13, 100%, $E$13)</f>
        <v>13.85</v>
      </c>
      <c r="C800" s="63">
        <f>13.85 * CHOOSE(CONTROL!$C$22, $C$13, 100%, $E$13)</f>
        <v>13.85</v>
      </c>
      <c r="D800" s="63">
        <f>13.89 * CHOOSE(CONTROL!$C$22, $C$13, 100%, $E$13)</f>
        <v>13.89</v>
      </c>
      <c r="E800" s="64">
        <f>16.2362 * CHOOSE(CONTROL!$C$22, $C$13, 100%, $E$13)</f>
        <v>16.2362</v>
      </c>
      <c r="F800" s="64">
        <f>16.2362 * CHOOSE(CONTROL!$C$22, $C$13, 100%, $E$13)</f>
        <v>16.2362</v>
      </c>
      <c r="G800" s="64">
        <f>16.2387 * CHOOSE(CONTROL!$C$22, $C$13, 100%, $E$13)</f>
        <v>16.238700000000001</v>
      </c>
      <c r="H800" s="64">
        <f>26.5424* CHOOSE(CONTROL!$C$22, $C$13, 100%, $E$13)</f>
        <v>26.542400000000001</v>
      </c>
      <c r="I800" s="64">
        <f>26.5448 * CHOOSE(CONTROL!$C$22, $C$13, 100%, $E$13)</f>
        <v>26.544799999999999</v>
      </c>
      <c r="J800" s="64">
        <f>16.2362 * CHOOSE(CONTROL!$C$22, $C$13, 100%, $E$13)</f>
        <v>16.2362</v>
      </c>
      <c r="K800" s="64">
        <f>16.2387 * CHOOSE(CONTROL!$C$22, $C$13, 100%, $E$13)</f>
        <v>16.238700000000001</v>
      </c>
    </row>
    <row r="801" spans="1:11" ht="15">
      <c r="A801" s="13">
        <v>66020</v>
      </c>
      <c r="B801" s="63">
        <f>13.8774 * CHOOSE(CONTROL!$C$22, $C$13, 100%, $E$13)</f>
        <v>13.8774</v>
      </c>
      <c r="C801" s="63">
        <f>13.8774 * CHOOSE(CONTROL!$C$22, $C$13, 100%, $E$13)</f>
        <v>13.8774</v>
      </c>
      <c r="D801" s="63">
        <f>13.8974 * CHOOSE(CONTROL!$C$22, $C$13, 100%, $E$13)</f>
        <v>13.897399999999999</v>
      </c>
      <c r="E801" s="64">
        <f>16.297 * CHOOSE(CONTROL!$C$22, $C$13, 100%, $E$13)</f>
        <v>16.297000000000001</v>
      </c>
      <c r="F801" s="64">
        <f>16.297 * CHOOSE(CONTROL!$C$22, $C$13, 100%, $E$13)</f>
        <v>16.297000000000001</v>
      </c>
      <c r="G801" s="64">
        <f>16.2971 * CHOOSE(CONTROL!$C$22, $C$13, 100%, $E$13)</f>
        <v>16.2971</v>
      </c>
      <c r="H801" s="64">
        <f>26.5977* CHOOSE(CONTROL!$C$22, $C$13, 100%, $E$13)</f>
        <v>26.5977</v>
      </c>
      <c r="I801" s="64">
        <f>26.5979 * CHOOSE(CONTROL!$C$22, $C$13, 100%, $E$13)</f>
        <v>26.597899999999999</v>
      </c>
      <c r="J801" s="64">
        <f>16.297 * CHOOSE(CONTROL!$C$22, $C$13, 100%, $E$13)</f>
        <v>16.297000000000001</v>
      </c>
      <c r="K801" s="64">
        <f>16.2971 * CHOOSE(CONTROL!$C$22, $C$13, 100%, $E$13)</f>
        <v>16.2971</v>
      </c>
    </row>
    <row r="802" spans="1:11" ht="15">
      <c r="A802" s="13">
        <v>66051</v>
      </c>
      <c r="B802" s="63">
        <f>13.8805 * CHOOSE(CONTROL!$C$22, $C$13, 100%, $E$13)</f>
        <v>13.8805</v>
      </c>
      <c r="C802" s="63">
        <f>13.8805 * CHOOSE(CONTROL!$C$22, $C$13, 100%, $E$13)</f>
        <v>13.8805</v>
      </c>
      <c r="D802" s="63">
        <f>13.9004 * CHOOSE(CONTROL!$C$22, $C$13, 100%, $E$13)</f>
        <v>13.900399999999999</v>
      </c>
      <c r="E802" s="64">
        <f>16.3362 * CHOOSE(CONTROL!$C$22, $C$13, 100%, $E$13)</f>
        <v>16.336200000000002</v>
      </c>
      <c r="F802" s="64">
        <f>16.3362 * CHOOSE(CONTROL!$C$22, $C$13, 100%, $E$13)</f>
        <v>16.336200000000002</v>
      </c>
      <c r="G802" s="64">
        <f>16.3363 * CHOOSE(CONTROL!$C$22, $C$13, 100%, $E$13)</f>
        <v>16.336300000000001</v>
      </c>
      <c r="H802" s="64">
        <f>26.6531* CHOOSE(CONTROL!$C$22, $C$13, 100%, $E$13)</f>
        <v>26.653099999999998</v>
      </c>
      <c r="I802" s="64">
        <f>26.6533 * CHOOSE(CONTROL!$C$22, $C$13, 100%, $E$13)</f>
        <v>26.653300000000002</v>
      </c>
      <c r="J802" s="64">
        <f>16.3362 * CHOOSE(CONTROL!$C$22, $C$13, 100%, $E$13)</f>
        <v>16.336200000000002</v>
      </c>
      <c r="K802" s="64">
        <f>16.3363 * CHOOSE(CONTROL!$C$22, $C$13, 100%, $E$13)</f>
        <v>16.336300000000001</v>
      </c>
    </row>
    <row r="803" spans="1:11" ht="15">
      <c r="A803" s="13">
        <v>66081</v>
      </c>
      <c r="B803" s="63">
        <f>13.8805 * CHOOSE(CONTROL!$C$22, $C$13, 100%, $E$13)</f>
        <v>13.8805</v>
      </c>
      <c r="C803" s="63">
        <f>13.8805 * CHOOSE(CONTROL!$C$22, $C$13, 100%, $E$13)</f>
        <v>13.8805</v>
      </c>
      <c r="D803" s="63">
        <f>13.9004 * CHOOSE(CONTROL!$C$22, $C$13, 100%, $E$13)</f>
        <v>13.900399999999999</v>
      </c>
      <c r="E803" s="64">
        <f>16.2435 * CHOOSE(CONTROL!$C$22, $C$13, 100%, $E$13)</f>
        <v>16.243500000000001</v>
      </c>
      <c r="F803" s="64">
        <f>16.2435 * CHOOSE(CONTROL!$C$22, $C$13, 100%, $E$13)</f>
        <v>16.243500000000001</v>
      </c>
      <c r="G803" s="64">
        <f>16.2437 * CHOOSE(CONTROL!$C$22, $C$13, 100%, $E$13)</f>
        <v>16.2437</v>
      </c>
      <c r="H803" s="64">
        <f>26.7086* CHOOSE(CONTROL!$C$22, $C$13, 100%, $E$13)</f>
        <v>26.708600000000001</v>
      </c>
      <c r="I803" s="64">
        <f>26.7088 * CHOOSE(CONTROL!$C$22, $C$13, 100%, $E$13)</f>
        <v>26.7088</v>
      </c>
      <c r="J803" s="64">
        <f>16.2435 * CHOOSE(CONTROL!$C$22, $C$13, 100%, $E$13)</f>
        <v>16.243500000000001</v>
      </c>
      <c r="K803" s="64">
        <f>16.2437 * CHOOSE(CONTROL!$C$22, $C$13, 100%, $E$13)</f>
        <v>16.2437</v>
      </c>
    </row>
    <row r="804" spans="1:11" ht="15">
      <c r="A804" s="13">
        <v>66112</v>
      </c>
      <c r="B804" s="63">
        <f>13.8715 * CHOOSE(CONTROL!$C$22, $C$13, 100%, $E$13)</f>
        <v>13.871499999999999</v>
      </c>
      <c r="C804" s="63">
        <f>13.8715 * CHOOSE(CONTROL!$C$22, $C$13, 100%, $E$13)</f>
        <v>13.871499999999999</v>
      </c>
      <c r="D804" s="63">
        <f>13.8915 * CHOOSE(CONTROL!$C$22, $C$13, 100%, $E$13)</f>
        <v>13.891500000000001</v>
      </c>
      <c r="E804" s="64">
        <f>16.2972 * CHOOSE(CONTROL!$C$22, $C$13, 100%, $E$13)</f>
        <v>16.2972</v>
      </c>
      <c r="F804" s="64">
        <f>16.2972 * CHOOSE(CONTROL!$C$22, $C$13, 100%, $E$13)</f>
        <v>16.2972</v>
      </c>
      <c r="G804" s="64">
        <f>16.2974 * CHOOSE(CONTROL!$C$22, $C$13, 100%, $E$13)</f>
        <v>16.2974</v>
      </c>
      <c r="H804" s="64">
        <f>26.55* CHOOSE(CONTROL!$C$22, $C$13, 100%, $E$13)</f>
        <v>26.55</v>
      </c>
      <c r="I804" s="64">
        <f>26.5502 * CHOOSE(CONTROL!$C$22, $C$13, 100%, $E$13)</f>
        <v>26.5502</v>
      </c>
      <c r="J804" s="64">
        <f>16.2972 * CHOOSE(CONTROL!$C$22, $C$13, 100%, $E$13)</f>
        <v>16.2972</v>
      </c>
      <c r="K804" s="64">
        <f>16.2974 * CHOOSE(CONTROL!$C$22, $C$13, 100%, $E$13)</f>
        <v>16.2974</v>
      </c>
    </row>
    <row r="805" spans="1:11" ht="15">
      <c r="A805" s="13">
        <v>66143</v>
      </c>
      <c r="B805" s="63">
        <f>13.8685 * CHOOSE(CONTROL!$C$22, $C$13, 100%, $E$13)</f>
        <v>13.868499999999999</v>
      </c>
      <c r="C805" s="63">
        <f>13.8685 * CHOOSE(CONTROL!$C$22, $C$13, 100%, $E$13)</f>
        <v>13.868499999999999</v>
      </c>
      <c r="D805" s="63">
        <f>13.8884 * CHOOSE(CONTROL!$C$22, $C$13, 100%, $E$13)</f>
        <v>13.888400000000001</v>
      </c>
      <c r="E805" s="64">
        <f>16.1168 * CHOOSE(CONTROL!$C$22, $C$13, 100%, $E$13)</f>
        <v>16.116800000000001</v>
      </c>
      <c r="F805" s="64">
        <f>16.1168 * CHOOSE(CONTROL!$C$22, $C$13, 100%, $E$13)</f>
        <v>16.116800000000001</v>
      </c>
      <c r="G805" s="64">
        <f>16.117 * CHOOSE(CONTROL!$C$22, $C$13, 100%, $E$13)</f>
        <v>16.117000000000001</v>
      </c>
      <c r="H805" s="64">
        <f>26.6053* CHOOSE(CONTROL!$C$22, $C$13, 100%, $E$13)</f>
        <v>26.6053</v>
      </c>
      <c r="I805" s="64">
        <f>26.6055 * CHOOSE(CONTROL!$C$22, $C$13, 100%, $E$13)</f>
        <v>26.605499999999999</v>
      </c>
      <c r="J805" s="64">
        <f>16.1168 * CHOOSE(CONTROL!$C$22, $C$13, 100%, $E$13)</f>
        <v>16.116800000000001</v>
      </c>
      <c r="K805" s="64">
        <f>16.117 * CHOOSE(CONTROL!$C$22, $C$13, 100%, $E$13)</f>
        <v>16.117000000000001</v>
      </c>
    </row>
    <row r="806" spans="1:11" ht="15">
      <c r="A806" s="13">
        <v>66171</v>
      </c>
      <c r="B806" s="63">
        <f>13.8654 * CHOOSE(CONTROL!$C$22, $C$13, 100%, $E$13)</f>
        <v>13.865399999999999</v>
      </c>
      <c r="C806" s="63">
        <f>13.8654 * CHOOSE(CONTROL!$C$22, $C$13, 100%, $E$13)</f>
        <v>13.865399999999999</v>
      </c>
      <c r="D806" s="63">
        <f>13.8854 * CHOOSE(CONTROL!$C$22, $C$13, 100%, $E$13)</f>
        <v>13.885400000000001</v>
      </c>
      <c r="E806" s="64">
        <f>16.2553 * CHOOSE(CONTROL!$C$22, $C$13, 100%, $E$13)</f>
        <v>16.255299999999998</v>
      </c>
      <c r="F806" s="64">
        <f>16.2553 * CHOOSE(CONTROL!$C$22, $C$13, 100%, $E$13)</f>
        <v>16.255299999999998</v>
      </c>
      <c r="G806" s="64">
        <f>16.2554 * CHOOSE(CONTROL!$C$22, $C$13, 100%, $E$13)</f>
        <v>16.255400000000002</v>
      </c>
      <c r="H806" s="64">
        <f>26.6608* CHOOSE(CONTROL!$C$22, $C$13, 100%, $E$13)</f>
        <v>26.660799999999998</v>
      </c>
      <c r="I806" s="64">
        <f>26.6609 * CHOOSE(CONTROL!$C$22, $C$13, 100%, $E$13)</f>
        <v>26.660900000000002</v>
      </c>
      <c r="J806" s="64">
        <f>16.2553 * CHOOSE(CONTROL!$C$22, $C$13, 100%, $E$13)</f>
        <v>16.255299999999998</v>
      </c>
      <c r="K806" s="64">
        <f>16.2554 * CHOOSE(CONTROL!$C$22, $C$13, 100%, $E$13)</f>
        <v>16.255400000000002</v>
      </c>
    </row>
    <row r="807" spans="1:11" ht="15">
      <c r="A807" s="13">
        <v>66202</v>
      </c>
      <c r="B807" s="63">
        <f>13.8715 * CHOOSE(CONTROL!$C$22, $C$13, 100%, $E$13)</f>
        <v>13.871499999999999</v>
      </c>
      <c r="C807" s="63">
        <f>13.8715 * CHOOSE(CONTROL!$C$22, $C$13, 100%, $E$13)</f>
        <v>13.871499999999999</v>
      </c>
      <c r="D807" s="63">
        <f>13.8915 * CHOOSE(CONTROL!$C$22, $C$13, 100%, $E$13)</f>
        <v>13.891500000000001</v>
      </c>
      <c r="E807" s="64">
        <f>16.402 * CHOOSE(CONTROL!$C$22, $C$13, 100%, $E$13)</f>
        <v>16.402000000000001</v>
      </c>
      <c r="F807" s="64">
        <f>16.402 * CHOOSE(CONTROL!$C$22, $C$13, 100%, $E$13)</f>
        <v>16.402000000000001</v>
      </c>
      <c r="G807" s="64">
        <f>16.4022 * CHOOSE(CONTROL!$C$22, $C$13, 100%, $E$13)</f>
        <v>16.402200000000001</v>
      </c>
      <c r="H807" s="64">
        <f>26.7163* CHOOSE(CONTROL!$C$22, $C$13, 100%, $E$13)</f>
        <v>26.7163</v>
      </c>
      <c r="I807" s="64">
        <f>26.7165 * CHOOSE(CONTROL!$C$22, $C$13, 100%, $E$13)</f>
        <v>26.7165</v>
      </c>
      <c r="J807" s="64">
        <f>16.402 * CHOOSE(CONTROL!$C$22, $C$13, 100%, $E$13)</f>
        <v>16.402000000000001</v>
      </c>
      <c r="K807" s="64">
        <f>16.4022 * CHOOSE(CONTROL!$C$22, $C$13, 100%, $E$13)</f>
        <v>16.402200000000001</v>
      </c>
    </row>
    <row r="808" spans="1:11" ht="15">
      <c r="A808" s="13">
        <v>66232</v>
      </c>
      <c r="B808" s="63">
        <f>13.8715 * CHOOSE(CONTROL!$C$22, $C$13, 100%, $E$13)</f>
        <v>13.871499999999999</v>
      </c>
      <c r="C808" s="63">
        <f>13.8715 * CHOOSE(CONTROL!$C$22, $C$13, 100%, $E$13)</f>
        <v>13.871499999999999</v>
      </c>
      <c r="D808" s="63">
        <f>13.9114 * CHOOSE(CONTROL!$C$22, $C$13, 100%, $E$13)</f>
        <v>13.9114</v>
      </c>
      <c r="E808" s="64">
        <f>16.4586 * CHOOSE(CONTROL!$C$22, $C$13, 100%, $E$13)</f>
        <v>16.458600000000001</v>
      </c>
      <c r="F808" s="64">
        <f>16.4586 * CHOOSE(CONTROL!$C$22, $C$13, 100%, $E$13)</f>
        <v>16.458600000000001</v>
      </c>
      <c r="G808" s="64">
        <f>16.4611 * CHOOSE(CONTROL!$C$22, $C$13, 100%, $E$13)</f>
        <v>16.461099999999998</v>
      </c>
      <c r="H808" s="64">
        <f>26.772* CHOOSE(CONTROL!$C$22, $C$13, 100%, $E$13)</f>
        <v>26.771999999999998</v>
      </c>
      <c r="I808" s="64">
        <f>26.7744 * CHOOSE(CONTROL!$C$22, $C$13, 100%, $E$13)</f>
        <v>26.7744</v>
      </c>
      <c r="J808" s="64">
        <f>16.4586 * CHOOSE(CONTROL!$C$22, $C$13, 100%, $E$13)</f>
        <v>16.458600000000001</v>
      </c>
      <c r="K808" s="64">
        <f>16.4611 * CHOOSE(CONTROL!$C$22, $C$13, 100%, $E$13)</f>
        <v>16.461099999999998</v>
      </c>
    </row>
    <row r="809" spans="1:11" ht="15">
      <c r="A809" s="13">
        <v>66263</v>
      </c>
      <c r="B809" s="63">
        <f>13.8776 * CHOOSE(CONTROL!$C$22, $C$13, 100%, $E$13)</f>
        <v>13.877599999999999</v>
      </c>
      <c r="C809" s="63">
        <f>13.8776 * CHOOSE(CONTROL!$C$22, $C$13, 100%, $E$13)</f>
        <v>13.877599999999999</v>
      </c>
      <c r="D809" s="63">
        <f>13.9175 * CHOOSE(CONTROL!$C$22, $C$13, 100%, $E$13)</f>
        <v>13.9175</v>
      </c>
      <c r="E809" s="64">
        <f>16.4063 * CHOOSE(CONTROL!$C$22, $C$13, 100%, $E$13)</f>
        <v>16.406300000000002</v>
      </c>
      <c r="F809" s="64">
        <f>16.4063 * CHOOSE(CONTROL!$C$22, $C$13, 100%, $E$13)</f>
        <v>16.406300000000002</v>
      </c>
      <c r="G809" s="64">
        <f>16.4087 * CHOOSE(CONTROL!$C$22, $C$13, 100%, $E$13)</f>
        <v>16.4087</v>
      </c>
      <c r="H809" s="64">
        <f>26.8277* CHOOSE(CONTROL!$C$22, $C$13, 100%, $E$13)</f>
        <v>26.8277</v>
      </c>
      <c r="I809" s="64">
        <f>26.8302 * CHOOSE(CONTROL!$C$22, $C$13, 100%, $E$13)</f>
        <v>26.830200000000001</v>
      </c>
      <c r="J809" s="64">
        <f>16.4063 * CHOOSE(CONTROL!$C$22, $C$13, 100%, $E$13)</f>
        <v>16.406300000000002</v>
      </c>
      <c r="K809" s="64">
        <f>16.4087 * CHOOSE(CONTROL!$C$22, $C$13, 100%, $E$13)</f>
        <v>16.4087</v>
      </c>
    </row>
    <row r="810" spans="1:11" ht="15">
      <c r="A810" s="13">
        <v>66293</v>
      </c>
      <c r="B810" s="63">
        <f>14.0956 * CHOOSE(CONTROL!$C$22, $C$13, 100%, $E$13)</f>
        <v>14.095599999999999</v>
      </c>
      <c r="C810" s="63">
        <f>14.0956 * CHOOSE(CONTROL!$C$22, $C$13, 100%, $E$13)</f>
        <v>14.095599999999999</v>
      </c>
      <c r="D810" s="63">
        <f>14.1355 * CHOOSE(CONTROL!$C$22, $C$13, 100%, $E$13)</f>
        <v>14.1355</v>
      </c>
      <c r="E810" s="64">
        <f>16.7189 * CHOOSE(CONTROL!$C$22, $C$13, 100%, $E$13)</f>
        <v>16.718900000000001</v>
      </c>
      <c r="F810" s="64">
        <f>16.7189 * CHOOSE(CONTROL!$C$22, $C$13, 100%, $E$13)</f>
        <v>16.718900000000001</v>
      </c>
      <c r="G810" s="64">
        <f>16.7214 * CHOOSE(CONTROL!$C$22, $C$13, 100%, $E$13)</f>
        <v>16.721399999999999</v>
      </c>
      <c r="H810" s="64">
        <f>26.8836* CHOOSE(CONTROL!$C$22, $C$13, 100%, $E$13)</f>
        <v>26.883600000000001</v>
      </c>
      <c r="I810" s="64">
        <f>26.8861 * CHOOSE(CONTROL!$C$22, $C$13, 100%, $E$13)</f>
        <v>26.886099999999999</v>
      </c>
      <c r="J810" s="64">
        <f>16.7189 * CHOOSE(CONTROL!$C$22, $C$13, 100%, $E$13)</f>
        <v>16.718900000000001</v>
      </c>
      <c r="K810" s="64">
        <f>16.7214 * CHOOSE(CONTROL!$C$22, $C$13, 100%, $E$13)</f>
        <v>16.721399999999999</v>
      </c>
    </row>
    <row r="811" spans="1:11" ht="15">
      <c r="A811" s="13">
        <v>66324</v>
      </c>
      <c r="B811" s="63">
        <f>14.1023 * CHOOSE(CONTROL!$C$22, $C$13, 100%, $E$13)</f>
        <v>14.1023</v>
      </c>
      <c r="C811" s="63">
        <f>14.1023 * CHOOSE(CONTROL!$C$22, $C$13, 100%, $E$13)</f>
        <v>14.1023</v>
      </c>
      <c r="D811" s="63">
        <f>14.1422 * CHOOSE(CONTROL!$C$22, $C$13, 100%, $E$13)</f>
        <v>14.142200000000001</v>
      </c>
      <c r="E811" s="64">
        <f>16.5537 * CHOOSE(CONTROL!$C$22, $C$13, 100%, $E$13)</f>
        <v>16.553699999999999</v>
      </c>
      <c r="F811" s="64">
        <f>16.5537 * CHOOSE(CONTROL!$C$22, $C$13, 100%, $E$13)</f>
        <v>16.553699999999999</v>
      </c>
      <c r="G811" s="64">
        <f>16.5562 * CHOOSE(CONTROL!$C$22, $C$13, 100%, $E$13)</f>
        <v>16.5562</v>
      </c>
      <c r="H811" s="64">
        <f>26.9396* CHOOSE(CONTROL!$C$22, $C$13, 100%, $E$13)</f>
        <v>26.939599999999999</v>
      </c>
      <c r="I811" s="64">
        <f>26.9421 * CHOOSE(CONTROL!$C$22, $C$13, 100%, $E$13)</f>
        <v>26.9421</v>
      </c>
      <c r="J811" s="64">
        <f>16.5537 * CHOOSE(CONTROL!$C$22, $C$13, 100%, $E$13)</f>
        <v>16.553699999999999</v>
      </c>
      <c r="K811" s="64">
        <f>16.5562 * CHOOSE(CONTROL!$C$22, $C$13, 100%, $E$13)</f>
        <v>16.5562</v>
      </c>
    </row>
    <row r="812" spans="1:11" ht="15">
      <c r="A812" s="13">
        <v>66355</v>
      </c>
      <c r="B812" s="63">
        <f>14.0992 * CHOOSE(CONTROL!$C$22, $C$13, 100%, $E$13)</f>
        <v>14.0992</v>
      </c>
      <c r="C812" s="63">
        <f>14.0992 * CHOOSE(CONTROL!$C$22, $C$13, 100%, $E$13)</f>
        <v>14.0992</v>
      </c>
      <c r="D812" s="63">
        <f>14.1392 * CHOOSE(CONTROL!$C$22, $C$13, 100%, $E$13)</f>
        <v>14.139200000000001</v>
      </c>
      <c r="E812" s="64">
        <f>16.5327 * CHOOSE(CONTROL!$C$22, $C$13, 100%, $E$13)</f>
        <v>16.532699999999998</v>
      </c>
      <c r="F812" s="64">
        <f>16.5327 * CHOOSE(CONTROL!$C$22, $C$13, 100%, $E$13)</f>
        <v>16.532699999999998</v>
      </c>
      <c r="G812" s="64">
        <f>16.5352 * CHOOSE(CONTROL!$C$22, $C$13, 100%, $E$13)</f>
        <v>16.5352</v>
      </c>
      <c r="H812" s="64">
        <f>26.9958* CHOOSE(CONTROL!$C$22, $C$13, 100%, $E$13)</f>
        <v>26.995799999999999</v>
      </c>
      <c r="I812" s="64">
        <f>26.9982 * CHOOSE(CONTROL!$C$22, $C$13, 100%, $E$13)</f>
        <v>26.998200000000001</v>
      </c>
      <c r="J812" s="64">
        <f>16.5327 * CHOOSE(CONTROL!$C$22, $C$13, 100%, $E$13)</f>
        <v>16.532699999999998</v>
      </c>
      <c r="K812" s="64">
        <f>16.5352 * CHOOSE(CONTROL!$C$22, $C$13, 100%, $E$13)</f>
        <v>16.5352</v>
      </c>
    </row>
    <row r="813" spans="1:11" ht="15">
      <c r="A813" s="13">
        <v>66385</v>
      </c>
      <c r="B813" s="63">
        <f>14.1275 * CHOOSE(CONTROL!$C$22, $C$13, 100%, $E$13)</f>
        <v>14.1275</v>
      </c>
      <c r="C813" s="63">
        <f>14.1275 * CHOOSE(CONTROL!$C$22, $C$13, 100%, $E$13)</f>
        <v>14.1275</v>
      </c>
      <c r="D813" s="63">
        <f>14.1474 * CHOOSE(CONTROL!$C$22, $C$13, 100%, $E$13)</f>
        <v>14.147399999999999</v>
      </c>
      <c r="E813" s="64">
        <f>16.5948 * CHOOSE(CONTROL!$C$22, $C$13, 100%, $E$13)</f>
        <v>16.594799999999999</v>
      </c>
      <c r="F813" s="64">
        <f>16.5948 * CHOOSE(CONTROL!$C$22, $C$13, 100%, $E$13)</f>
        <v>16.594799999999999</v>
      </c>
      <c r="G813" s="64">
        <f>16.595 * CHOOSE(CONTROL!$C$22, $C$13, 100%, $E$13)</f>
        <v>16.594999999999999</v>
      </c>
      <c r="H813" s="64">
        <f>27.052* CHOOSE(CONTROL!$C$22, $C$13, 100%, $E$13)</f>
        <v>27.052</v>
      </c>
      <c r="I813" s="64">
        <f>27.0522 * CHOOSE(CONTROL!$C$22, $C$13, 100%, $E$13)</f>
        <v>27.052199999999999</v>
      </c>
      <c r="J813" s="64">
        <f>16.5948 * CHOOSE(CONTROL!$C$22, $C$13, 100%, $E$13)</f>
        <v>16.594799999999999</v>
      </c>
      <c r="K813" s="64">
        <f>16.595 * CHOOSE(CONTROL!$C$22, $C$13, 100%, $E$13)</f>
        <v>16.594999999999999</v>
      </c>
    </row>
    <row r="814" spans="1:11" ht="15">
      <c r="A814" s="13">
        <v>66416</v>
      </c>
      <c r="B814" s="63">
        <f>14.1305 * CHOOSE(CONTROL!$C$22, $C$13, 100%, $E$13)</f>
        <v>14.1305</v>
      </c>
      <c r="C814" s="63">
        <f>14.1305 * CHOOSE(CONTROL!$C$22, $C$13, 100%, $E$13)</f>
        <v>14.1305</v>
      </c>
      <c r="D814" s="63">
        <f>14.1505 * CHOOSE(CONTROL!$C$22, $C$13, 100%, $E$13)</f>
        <v>14.150499999999999</v>
      </c>
      <c r="E814" s="64">
        <f>16.6347 * CHOOSE(CONTROL!$C$22, $C$13, 100%, $E$13)</f>
        <v>16.634699999999999</v>
      </c>
      <c r="F814" s="64">
        <f>16.6347 * CHOOSE(CONTROL!$C$22, $C$13, 100%, $E$13)</f>
        <v>16.634699999999999</v>
      </c>
      <c r="G814" s="64">
        <f>16.6349 * CHOOSE(CONTROL!$C$22, $C$13, 100%, $E$13)</f>
        <v>16.634899999999998</v>
      </c>
      <c r="H814" s="64">
        <f>27.1084* CHOOSE(CONTROL!$C$22, $C$13, 100%, $E$13)</f>
        <v>27.1084</v>
      </c>
      <c r="I814" s="64">
        <f>27.1085 * CHOOSE(CONTROL!$C$22, $C$13, 100%, $E$13)</f>
        <v>27.108499999999999</v>
      </c>
      <c r="J814" s="64">
        <f>16.6347 * CHOOSE(CONTROL!$C$22, $C$13, 100%, $E$13)</f>
        <v>16.634699999999999</v>
      </c>
      <c r="K814" s="64">
        <f>16.6349 * CHOOSE(CONTROL!$C$22, $C$13, 100%, $E$13)</f>
        <v>16.634899999999998</v>
      </c>
    </row>
    <row r="815" spans="1:11" ht="15">
      <c r="A815" s="13">
        <v>66446</v>
      </c>
      <c r="B815" s="63">
        <f>14.1305 * CHOOSE(CONTROL!$C$22, $C$13, 100%, $E$13)</f>
        <v>14.1305</v>
      </c>
      <c r="C815" s="63">
        <f>14.1305 * CHOOSE(CONTROL!$C$22, $C$13, 100%, $E$13)</f>
        <v>14.1305</v>
      </c>
      <c r="D815" s="63">
        <f>14.1505 * CHOOSE(CONTROL!$C$22, $C$13, 100%, $E$13)</f>
        <v>14.150499999999999</v>
      </c>
      <c r="E815" s="64">
        <f>16.5403 * CHOOSE(CONTROL!$C$22, $C$13, 100%, $E$13)</f>
        <v>16.540299999999998</v>
      </c>
      <c r="F815" s="64">
        <f>16.5403 * CHOOSE(CONTROL!$C$22, $C$13, 100%, $E$13)</f>
        <v>16.540299999999998</v>
      </c>
      <c r="G815" s="64">
        <f>16.5405 * CHOOSE(CONTROL!$C$22, $C$13, 100%, $E$13)</f>
        <v>16.540500000000002</v>
      </c>
      <c r="H815" s="64">
        <f>27.1648* CHOOSE(CONTROL!$C$22, $C$13, 100%, $E$13)</f>
        <v>27.1648</v>
      </c>
      <c r="I815" s="64">
        <f>27.165 * CHOOSE(CONTROL!$C$22, $C$13, 100%, $E$13)</f>
        <v>27.164999999999999</v>
      </c>
      <c r="J815" s="64">
        <f>16.5403 * CHOOSE(CONTROL!$C$22, $C$13, 100%, $E$13)</f>
        <v>16.540299999999998</v>
      </c>
      <c r="K815" s="64">
        <f>16.5405 * CHOOSE(CONTROL!$C$22, $C$13, 100%, $E$13)</f>
        <v>16.540500000000002</v>
      </c>
    </row>
    <row r="816" spans="1:11" ht="15">
      <c r="A816" s="13">
        <v>66477</v>
      </c>
      <c r="B816" s="63">
        <f>14.1168 * CHOOSE(CONTROL!$C$22, $C$13, 100%, $E$13)</f>
        <v>14.1168</v>
      </c>
      <c r="C816" s="63">
        <f>14.1168 * CHOOSE(CONTROL!$C$22, $C$13, 100%, $E$13)</f>
        <v>14.1168</v>
      </c>
      <c r="D816" s="63">
        <f>14.1368 * CHOOSE(CONTROL!$C$22, $C$13, 100%, $E$13)</f>
        <v>14.136799999999999</v>
      </c>
      <c r="E816" s="64">
        <f>16.5897 * CHOOSE(CONTROL!$C$22, $C$13, 100%, $E$13)</f>
        <v>16.589700000000001</v>
      </c>
      <c r="F816" s="64">
        <f>16.5897 * CHOOSE(CONTROL!$C$22, $C$13, 100%, $E$13)</f>
        <v>16.589700000000001</v>
      </c>
      <c r="G816" s="64">
        <f>16.5898 * CHOOSE(CONTROL!$C$22, $C$13, 100%, $E$13)</f>
        <v>16.5898</v>
      </c>
      <c r="H816" s="64">
        <f>26.9959* CHOOSE(CONTROL!$C$22, $C$13, 100%, $E$13)</f>
        <v>26.995899999999999</v>
      </c>
      <c r="I816" s="64">
        <f>26.9961 * CHOOSE(CONTROL!$C$22, $C$13, 100%, $E$13)</f>
        <v>26.996099999999998</v>
      </c>
      <c r="J816" s="64">
        <f>16.5897 * CHOOSE(CONTROL!$C$22, $C$13, 100%, $E$13)</f>
        <v>16.589700000000001</v>
      </c>
      <c r="K816" s="64">
        <f>16.5898 * CHOOSE(CONTROL!$C$22, $C$13, 100%, $E$13)</f>
        <v>16.5898</v>
      </c>
    </row>
    <row r="817" spans="1:11" ht="15">
      <c r="A817" s="13">
        <v>66508</v>
      </c>
      <c r="B817" s="63">
        <f>14.1138 * CHOOSE(CONTROL!$C$22, $C$13, 100%, $E$13)</f>
        <v>14.113799999999999</v>
      </c>
      <c r="C817" s="63">
        <f>14.1138 * CHOOSE(CONTROL!$C$22, $C$13, 100%, $E$13)</f>
        <v>14.113799999999999</v>
      </c>
      <c r="D817" s="63">
        <f>14.1337 * CHOOSE(CONTROL!$C$22, $C$13, 100%, $E$13)</f>
        <v>14.133699999999999</v>
      </c>
      <c r="E817" s="64">
        <f>16.406 * CHOOSE(CONTROL!$C$22, $C$13, 100%, $E$13)</f>
        <v>16.405999999999999</v>
      </c>
      <c r="F817" s="64">
        <f>16.406 * CHOOSE(CONTROL!$C$22, $C$13, 100%, $E$13)</f>
        <v>16.405999999999999</v>
      </c>
      <c r="G817" s="64">
        <f>16.4062 * CHOOSE(CONTROL!$C$22, $C$13, 100%, $E$13)</f>
        <v>16.406199999999998</v>
      </c>
      <c r="H817" s="64">
        <f>27.0522* CHOOSE(CONTROL!$C$22, $C$13, 100%, $E$13)</f>
        <v>27.052199999999999</v>
      </c>
      <c r="I817" s="64">
        <f>27.0523 * CHOOSE(CONTROL!$C$22, $C$13, 100%, $E$13)</f>
        <v>27.052299999999999</v>
      </c>
      <c r="J817" s="64">
        <f>16.406 * CHOOSE(CONTROL!$C$22, $C$13, 100%, $E$13)</f>
        <v>16.405999999999999</v>
      </c>
      <c r="K817" s="64">
        <f>16.4062 * CHOOSE(CONTROL!$C$22, $C$13, 100%, $E$13)</f>
        <v>16.406199999999998</v>
      </c>
    </row>
    <row r="818" spans="1:11" ht="15">
      <c r="A818" s="13">
        <v>66536</v>
      </c>
      <c r="B818" s="63">
        <f>14.1107 * CHOOSE(CONTROL!$C$22, $C$13, 100%, $E$13)</f>
        <v>14.1107</v>
      </c>
      <c r="C818" s="63">
        <f>14.1107 * CHOOSE(CONTROL!$C$22, $C$13, 100%, $E$13)</f>
        <v>14.1107</v>
      </c>
      <c r="D818" s="63">
        <f>14.1307 * CHOOSE(CONTROL!$C$22, $C$13, 100%, $E$13)</f>
        <v>14.130699999999999</v>
      </c>
      <c r="E818" s="64">
        <f>16.547 * CHOOSE(CONTROL!$C$22, $C$13, 100%, $E$13)</f>
        <v>16.547000000000001</v>
      </c>
      <c r="F818" s="64">
        <f>16.547 * CHOOSE(CONTROL!$C$22, $C$13, 100%, $E$13)</f>
        <v>16.547000000000001</v>
      </c>
      <c r="G818" s="64">
        <f>16.5472 * CHOOSE(CONTROL!$C$22, $C$13, 100%, $E$13)</f>
        <v>16.5472</v>
      </c>
      <c r="H818" s="64">
        <f>27.1085* CHOOSE(CONTROL!$C$22, $C$13, 100%, $E$13)</f>
        <v>27.108499999999999</v>
      </c>
      <c r="I818" s="64">
        <f>27.1087 * CHOOSE(CONTROL!$C$22, $C$13, 100%, $E$13)</f>
        <v>27.108699999999999</v>
      </c>
      <c r="J818" s="64">
        <f>16.547 * CHOOSE(CONTROL!$C$22, $C$13, 100%, $E$13)</f>
        <v>16.547000000000001</v>
      </c>
      <c r="K818" s="64">
        <f>16.5472 * CHOOSE(CONTROL!$C$22, $C$13, 100%, $E$13)</f>
        <v>16.5472</v>
      </c>
    </row>
    <row r="819" spans="1:11" ht="15">
      <c r="A819" s="13">
        <v>66567</v>
      </c>
      <c r="B819" s="63">
        <f>14.117 * CHOOSE(CONTROL!$C$22, $C$13, 100%, $E$13)</f>
        <v>14.117000000000001</v>
      </c>
      <c r="C819" s="63">
        <f>14.117 * CHOOSE(CONTROL!$C$22, $C$13, 100%, $E$13)</f>
        <v>14.117000000000001</v>
      </c>
      <c r="D819" s="63">
        <f>14.137 * CHOOSE(CONTROL!$C$22, $C$13, 100%, $E$13)</f>
        <v>14.137</v>
      </c>
      <c r="E819" s="64">
        <f>16.6965 * CHOOSE(CONTROL!$C$22, $C$13, 100%, $E$13)</f>
        <v>16.6965</v>
      </c>
      <c r="F819" s="64">
        <f>16.6965 * CHOOSE(CONTROL!$C$22, $C$13, 100%, $E$13)</f>
        <v>16.6965</v>
      </c>
      <c r="G819" s="64">
        <f>16.6966 * CHOOSE(CONTROL!$C$22, $C$13, 100%, $E$13)</f>
        <v>16.6966</v>
      </c>
      <c r="H819" s="64">
        <f>27.165* CHOOSE(CONTROL!$C$22, $C$13, 100%, $E$13)</f>
        <v>27.164999999999999</v>
      </c>
      <c r="I819" s="64">
        <f>27.1652 * CHOOSE(CONTROL!$C$22, $C$13, 100%, $E$13)</f>
        <v>27.165199999999999</v>
      </c>
      <c r="J819" s="64">
        <f>16.6965 * CHOOSE(CONTROL!$C$22, $C$13, 100%, $E$13)</f>
        <v>16.6965</v>
      </c>
      <c r="K819" s="64">
        <f>16.6966 * CHOOSE(CONTROL!$C$22, $C$13, 100%, $E$13)</f>
        <v>16.6966</v>
      </c>
    </row>
    <row r="820" spans="1:11" ht="15">
      <c r="A820" s="13">
        <v>66597</v>
      </c>
      <c r="B820" s="63">
        <f>14.117 * CHOOSE(CONTROL!$C$22, $C$13, 100%, $E$13)</f>
        <v>14.117000000000001</v>
      </c>
      <c r="C820" s="63">
        <f>14.117 * CHOOSE(CONTROL!$C$22, $C$13, 100%, $E$13)</f>
        <v>14.117000000000001</v>
      </c>
      <c r="D820" s="63">
        <f>14.157 * CHOOSE(CONTROL!$C$22, $C$13, 100%, $E$13)</f>
        <v>14.157</v>
      </c>
      <c r="E820" s="64">
        <f>16.7541 * CHOOSE(CONTROL!$C$22, $C$13, 100%, $E$13)</f>
        <v>16.754100000000001</v>
      </c>
      <c r="F820" s="64">
        <f>16.7541 * CHOOSE(CONTROL!$C$22, $C$13, 100%, $E$13)</f>
        <v>16.754100000000001</v>
      </c>
      <c r="G820" s="64">
        <f>16.7565 * CHOOSE(CONTROL!$C$22, $C$13, 100%, $E$13)</f>
        <v>16.756499999999999</v>
      </c>
      <c r="H820" s="64">
        <f>27.2216* CHOOSE(CONTROL!$C$22, $C$13, 100%, $E$13)</f>
        <v>27.221599999999999</v>
      </c>
      <c r="I820" s="64">
        <f>27.224 * CHOOSE(CONTROL!$C$22, $C$13, 100%, $E$13)</f>
        <v>27.224</v>
      </c>
      <c r="J820" s="64">
        <f>16.7541 * CHOOSE(CONTROL!$C$22, $C$13, 100%, $E$13)</f>
        <v>16.754100000000001</v>
      </c>
      <c r="K820" s="64">
        <f>16.7565 * CHOOSE(CONTROL!$C$22, $C$13, 100%, $E$13)</f>
        <v>16.756499999999999</v>
      </c>
    </row>
    <row r="821" spans="1:11" ht="15">
      <c r="A821" s="13">
        <v>66628</v>
      </c>
      <c r="B821" s="63">
        <f>14.1231 * CHOOSE(CONTROL!$C$22, $C$13, 100%, $E$13)</f>
        <v>14.123100000000001</v>
      </c>
      <c r="C821" s="63">
        <f>14.1231 * CHOOSE(CONTROL!$C$22, $C$13, 100%, $E$13)</f>
        <v>14.123100000000001</v>
      </c>
      <c r="D821" s="63">
        <f>14.163 * CHOOSE(CONTROL!$C$22, $C$13, 100%, $E$13)</f>
        <v>14.163</v>
      </c>
      <c r="E821" s="64">
        <f>16.7007 * CHOOSE(CONTROL!$C$22, $C$13, 100%, $E$13)</f>
        <v>16.700700000000001</v>
      </c>
      <c r="F821" s="64">
        <f>16.7007 * CHOOSE(CONTROL!$C$22, $C$13, 100%, $E$13)</f>
        <v>16.700700000000001</v>
      </c>
      <c r="G821" s="64">
        <f>16.7031 * CHOOSE(CONTROL!$C$22, $C$13, 100%, $E$13)</f>
        <v>16.703099999999999</v>
      </c>
      <c r="H821" s="64">
        <f>27.2783* CHOOSE(CONTROL!$C$22, $C$13, 100%, $E$13)</f>
        <v>27.278300000000002</v>
      </c>
      <c r="I821" s="64">
        <f>27.2807 * CHOOSE(CONTROL!$C$22, $C$13, 100%, $E$13)</f>
        <v>27.2807</v>
      </c>
      <c r="J821" s="64">
        <f>16.7007 * CHOOSE(CONTROL!$C$22, $C$13, 100%, $E$13)</f>
        <v>16.700700000000001</v>
      </c>
      <c r="K821" s="64">
        <f>16.7031 * CHOOSE(CONTROL!$C$22, $C$13, 100%, $E$13)</f>
        <v>16.703099999999999</v>
      </c>
    </row>
    <row r="822" spans="1:11" ht="15">
      <c r="A822" s="13">
        <v>66658</v>
      </c>
      <c r="B822" s="63">
        <f>14.3448 * CHOOSE(CONTROL!$C$22, $C$13, 100%, $E$13)</f>
        <v>14.344799999999999</v>
      </c>
      <c r="C822" s="63">
        <f>14.3448 * CHOOSE(CONTROL!$C$22, $C$13, 100%, $E$13)</f>
        <v>14.344799999999999</v>
      </c>
      <c r="D822" s="63">
        <f>14.3847 * CHOOSE(CONTROL!$C$22, $C$13, 100%, $E$13)</f>
        <v>14.3847</v>
      </c>
      <c r="E822" s="64">
        <f>17.0188 * CHOOSE(CONTROL!$C$22, $C$13, 100%, $E$13)</f>
        <v>17.018799999999999</v>
      </c>
      <c r="F822" s="64">
        <f>17.0188 * CHOOSE(CONTROL!$C$22, $C$13, 100%, $E$13)</f>
        <v>17.018799999999999</v>
      </c>
      <c r="G822" s="64">
        <f>17.0213 * CHOOSE(CONTROL!$C$22, $C$13, 100%, $E$13)</f>
        <v>17.0213</v>
      </c>
      <c r="H822" s="64">
        <f>27.3351* CHOOSE(CONTROL!$C$22, $C$13, 100%, $E$13)</f>
        <v>27.335100000000001</v>
      </c>
      <c r="I822" s="64">
        <f>27.3376 * CHOOSE(CONTROL!$C$22, $C$13, 100%, $E$13)</f>
        <v>27.337599999999998</v>
      </c>
      <c r="J822" s="64">
        <f>17.0188 * CHOOSE(CONTROL!$C$22, $C$13, 100%, $E$13)</f>
        <v>17.018799999999999</v>
      </c>
      <c r="K822" s="64">
        <f>17.0213 * CHOOSE(CONTROL!$C$22, $C$13, 100%, $E$13)</f>
        <v>17.0213</v>
      </c>
    </row>
    <row r="823" spans="1:11" ht="15">
      <c r="A823" s="13">
        <v>66689</v>
      </c>
      <c r="B823" s="63">
        <f>14.3515 * CHOOSE(CONTROL!$C$22, $C$13, 100%, $E$13)</f>
        <v>14.3515</v>
      </c>
      <c r="C823" s="63">
        <f>14.3515 * CHOOSE(CONTROL!$C$22, $C$13, 100%, $E$13)</f>
        <v>14.3515</v>
      </c>
      <c r="D823" s="63">
        <f>14.3914 * CHOOSE(CONTROL!$C$22, $C$13, 100%, $E$13)</f>
        <v>14.391400000000001</v>
      </c>
      <c r="E823" s="64">
        <f>16.8506 * CHOOSE(CONTROL!$C$22, $C$13, 100%, $E$13)</f>
        <v>16.8506</v>
      </c>
      <c r="F823" s="64">
        <f>16.8506 * CHOOSE(CONTROL!$C$22, $C$13, 100%, $E$13)</f>
        <v>16.8506</v>
      </c>
      <c r="G823" s="64">
        <f>16.853 * CHOOSE(CONTROL!$C$22, $C$13, 100%, $E$13)</f>
        <v>16.853000000000002</v>
      </c>
      <c r="H823" s="64">
        <f>27.3921* CHOOSE(CONTROL!$C$22, $C$13, 100%, $E$13)</f>
        <v>27.392099999999999</v>
      </c>
      <c r="I823" s="64">
        <f>27.3945 * CHOOSE(CONTROL!$C$22, $C$13, 100%, $E$13)</f>
        <v>27.394500000000001</v>
      </c>
      <c r="J823" s="64">
        <f>16.8506 * CHOOSE(CONTROL!$C$22, $C$13, 100%, $E$13)</f>
        <v>16.8506</v>
      </c>
      <c r="K823" s="64">
        <f>16.853 * CHOOSE(CONTROL!$C$22, $C$13, 100%, $E$13)</f>
        <v>16.853000000000002</v>
      </c>
    </row>
    <row r="824" spans="1:11" ht="15">
      <c r="A824" s="13">
        <v>66720</v>
      </c>
      <c r="B824" s="63">
        <f>14.3484 * CHOOSE(CONTROL!$C$22, $C$13, 100%, $E$13)</f>
        <v>14.3484</v>
      </c>
      <c r="C824" s="63">
        <f>14.3484 * CHOOSE(CONTROL!$C$22, $C$13, 100%, $E$13)</f>
        <v>14.3484</v>
      </c>
      <c r="D824" s="63">
        <f>14.3884 * CHOOSE(CONTROL!$C$22, $C$13, 100%, $E$13)</f>
        <v>14.388400000000001</v>
      </c>
      <c r="E824" s="64">
        <f>16.8292 * CHOOSE(CONTROL!$C$22, $C$13, 100%, $E$13)</f>
        <v>16.8292</v>
      </c>
      <c r="F824" s="64">
        <f>16.8292 * CHOOSE(CONTROL!$C$22, $C$13, 100%, $E$13)</f>
        <v>16.8292</v>
      </c>
      <c r="G824" s="64">
        <f>16.8317 * CHOOSE(CONTROL!$C$22, $C$13, 100%, $E$13)</f>
        <v>16.831700000000001</v>
      </c>
      <c r="H824" s="64">
        <f>27.4491* CHOOSE(CONTROL!$C$22, $C$13, 100%, $E$13)</f>
        <v>27.449100000000001</v>
      </c>
      <c r="I824" s="64">
        <f>27.4516 * CHOOSE(CONTROL!$C$22, $C$13, 100%, $E$13)</f>
        <v>27.451599999999999</v>
      </c>
      <c r="J824" s="64">
        <f>16.8292 * CHOOSE(CONTROL!$C$22, $C$13, 100%, $E$13)</f>
        <v>16.8292</v>
      </c>
      <c r="K824" s="64">
        <f>16.8317 * CHOOSE(CONTROL!$C$22, $C$13, 100%, $E$13)</f>
        <v>16.831700000000001</v>
      </c>
    </row>
    <row r="825" spans="1:11" ht="15">
      <c r="A825" s="13">
        <v>66750</v>
      </c>
      <c r="B825" s="63">
        <f>14.3775 * CHOOSE(CONTROL!$C$22, $C$13, 100%, $E$13)</f>
        <v>14.3775</v>
      </c>
      <c r="C825" s="63">
        <f>14.3775 * CHOOSE(CONTROL!$C$22, $C$13, 100%, $E$13)</f>
        <v>14.3775</v>
      </c>
      <c r="D825" s="63">
        <f>14.3974 * CHOOSE(CONTROL!$C$22, $C$13, 100%, $E$13)</f>
        <v>14.397399999999999</v>
      </c>
      <c r="E825" s="64">
        <f>16.8927 * CHOOSE(CONTROL!$C$22, $C$13, 100%, $E$13)</f>
        <v>16.892700000000001</v>
      </c>
      <c r="F825" s="64">
        <f>16.8927 * CHOOSE(CONTROL!$C$22, $C$13, 100%, $E$13)</f>
        <v>16.892700000000001</v>
      </c>
      <c r="G825" s="64">
        <f>16.8928 * CHOOSE(CONTROL!$C$22, $C$13, 100%, $E$13)</f>
        <v>16.892800000000001</v>
      </c>
      <c r="H825" s="64">
        <f>27.5063* CHOOSE(CONTROL!$C$22, $C$13, 100%, $E$13)</f>
        <v>27.5063</v>
      </c>
      <c r="I825" s="64">
        <f>27.5065 * CHOOSE(CONTROL!$C$22, $C$13, 100%, $E$13)</f>
        <v>27.506499999999999</v>
      </c>
      <c r="J825" s="64">
        <f>16.8927 * CHOOSE(CONTROL!$C$22, $C$13, 100%, $E$13)</f>
        <v>16.892700000000001</v>
      </c>
      <c r="K825" s="64">
        <f>16.8928 * CHOOSE(CONTROL!$C$22, $C$13, 100%, $E$13)</f>
        <v>16.892800000000001</v>
      </c>
    </row>
    <row r="826" spans="1:11" ht="15">
      <c r="A826" s="13">
        <v>66781</v>
      </c>
      <c r="B826" s="63">
        <f>14.3805 * CHOOSE(CONTROL!$C$22, $C$13, 100%, $E$13)</f>
        <v>14.3805</v>
      </c>
      <c r="C826" s="63">
        <f>14.3805 * CHOOSE(CONTROL!$C$22, $C$13, 100%, $E$13)</f>
        <v>14.3805</v>
      </c>
      <c r="D826" s="63">
        <f>14.4005 * CHOOSE(CONTROL!$C$22, $C$13, 100%, $E$13)</f>
        <v>14.400499999999999</v>
      </c>
      <c r="E826" s="64">
        <f>16.9332 * CHOOSE(CONTROL!$C$22, $C$13, 100%, $E$13)</f>
        <v>16.933199999999999</v>
      </c>
      <c r="F826" s="64">
        <f>16.9332 * CHOOSE(CONTROL!$C$22, $C$13, 100%, $E$13)</f>
        <v>16.933199999999999</v>
      </c>
      <c r="G826" s="64">
        <f>16.9334 * CHOOSE(CONTROL!$C$22, $C$13, 100%, $E$13)</f>
        <v>16.933399999999999</v>
      </c>
      <c r="H826" s="64">
        <f>27.5636* CHOOSE(CONTROL!$C$22, $C$13, 100%, $E$13)</f>
        <v>27.563600000000001</v>
      </c>
      <c r="I826" s="64">
        <f>27.5638 * CHOOSE(CONTROL!$C$22, $C$13, 100%, $E$13)</f>
        <v>27.563800000000001</v>
      </c>
      <c r="J826" s="64">
        <f>16.9332 * CHOOSE(CONTROL!$C$22, $C$13, 100%, $E$13)</f>
        <v>16.933199999999999</v>
      </c>
      <c r="K826" s="64">
        <f>16.9334 * CHOOSE(CONTROL!$C$22, $C$13, 100%, $E$13)</f>
        <v>16.933399999999999</v>
      </c>
    </row>
    <row r="827" spans="1:11" ht="15">
      <c r="A827" s="13">
        <v>66811</v>
      </c>
      <c r="B827" s="63">
        <f>14.3805 * CHOOSE(CONTROL!$C$22, $C$13, 100%, $E$13)</f>
        <v>14.3805</v>
      </c>
      <c r="C827" s="63">
        <f>14.3805 * CHOOSE(CONTROL!$C$22, $C$13, 100%, $E$13)</f>
        <v>14.3805</v>
      </c>
      <c r="D827" s="63">
        <f>14.4005 * CHOOSE(CONTROL!$C$22, $C$13, 100%, $E$13)</f>
        <v>14.400499999999999</v>
      </c>
      <c r="E827" s="64">
        <f>16.8371 * CHOOSE(CONTROL!$C$22, $C$13, 100%, $E$13)</f>
        <v>16.8371</v>
      </c>
      <c r="F827" s="64">
        <f>16.8371 * CHOOSE(CONTROL!$C$22, $C$13, 100%, $E$13)</f>
        <v>16.8371</v>
      </c>
      <c r="G827" s="64">
        <f>16.8373 * CHOOSE(CONTROL!$C$22, $C$13, 100%, $E$13)</f>
        <v>16.837299999999999</v>
      </c>
      <c r="H827" s="64">
        <f>27.6211* CHOOSE(CONTROL!$C$22, $C$13, 100%, $E$13)</f>
        <v>27.621099999999998</v>
      </c>
      <c r="I827" s="64">
        <f>27.6212 * CHOOSE(CONTROL!$C$22, $C$13, 100%, $E$13)</f>
        <v>27.621200000000002</v>
      </c>
      <c r="J827" s="64">
        <f>16.8371 * CHOOSE(CONTROL!$C$22, $C$13, 100%, $E$13)</f>
        <v>16.8371</v>
      </c>
      <c r="K827" s="64">
        <f>16.8373 * CHOOSE(CONTROL!$C$22, $C$13, 100%, $E$13)</f>
        <v>16.837299999999999</v>
      </c>
    </row>
    <row r="828" spans="1:11" ht="15">
      <c r="A828" s="13">
        <v>66842</v>
      </c>
      <c r="B828" s="63">
        <f>14.3621 * CHOOSE(CONTROL!$C$22, $C$13, 100%, $E$13)</f>
        <v>14.3621</v>
      </c>
      <c r="C828" s="63">
        <f>14.3621 * CHOOSE(CONTROL!$C$22, $C$13, 100%, $E$13)</f>
        <v>14.3621</v>
      </c>
      <c r="D828" s="63">
        <f>14.3821 * CHOOSE(CONTROL!$C$22, $C$13, 100%, $E$13)</f>
        <v>14.382099999999999</v>
      </c>
      <c r="E828" s="64">
        <f>16.8821 * CHOOSE(CONTROL!$C$22, $C$13, 100%, $E$13)</f>
        <v>16.882100000000001</v>
      </c>
      <c r="F828" s="64">
        <f>16.8821 * CHOOSE(CONTROL!$C$22, $C$13, 100%, $E$13)</f>
        <v>16.882100000000001</v>
      </c>
      <c r="G828" s="64">
        <f>16.8822 * CHOOSE(CONTROL!$C$22, $C$13, 100%, $E$13)</f>
        <v>16.882200000000001</v>
      </c>
      <c r="H828" s="64">
        <f>27.4418* CHOOSE(CONTROL!$C$22, $C$13, 100%, $E$13)</f>
        <v>27.441800000000001</v>
      </c>
      <c r="I828" s="64">
        <f>27.442 * CHOOSE(CONTROL!$C$22, $C$13, 100%, $E$13)</f>
        <v>27.442</v>
      </c>
      <c r="J828" s="64">
        <f>16.8821 * CHOOSE(CONTROL!$C$22, $C$13, 100%, $E$13)</f>
        <v>16.882100000000001</v>
      </c>
      <c r="K828" s="64">
        <f>16.8822 * CHOOSE(CONTROL!$C$22, $C$13, 100%, $E$13)</f>
        <v>16.882200000000001</v>
      </c>
    </row>
    <row r="829" spans="1:11" ht="15">
      <c r="A829" s="13">
        <v>66873</v>
      </c>
      <c r="B829" s="63">
        <f>14.3591 * CHOOSE(CONTROL!$C$22, $C$13, 100%, $E$13)</f>
        <v>14.3591</v>
      </c>
      <c r="C829" s="63">
        <f>14.3591 * CHOOSE(CONTROL!$C$22, $C$13, 100%, $E$13)</f>
        <v>14.3591</v>
      </c>
      <c r="D829" s="63">
        <f>14.3791 * CHOOSE(CONTROL!$C$22, $C$13, 100%, $E$13)</f>
        <v>14.379099999999999</v>
      </c>
      <c r="E829" s="64">
        <f>16.6952 * CHOOSE(CONTROL!$C$22, $C$13, 100%, $E$13)</f>
        <v>16.6952</v>
      </c>
      <c r="F829" s="64">
        <f>16.6952 * CHOOSE(CONTROL!$C$22, $C$13, 100%, $E$13)</f>
        <v>16.6952</v>
      </c>
      <c r="G829" s="64">
        <f>16.6954 * CHOOSE(CONTROL!$C$22, $C$13, 100%, $E$13)</f>
        <v>16.695399999999999</v>
      </c>
      <c r="H829" s="64">
        <f>27.499* CHOOSE(CONTROL!$C$22, $C$13, 100%, $E$13)</f>
        <v>27.498999999999999</v>
      </c>
      <c r="I829" s="64">
        <f>27.4992 * CHOOSE(CONTROL!$C$22, $C$13, 100%, $E$13)</f>
        <v>27.499199999999998</v>
      </c>
      <c r="J829" s="64">
        <f>16.6952 * CHOOSE(CONTROL!$C$22, $C$13, 100%, $E$13)</f>
        <v>16.6952</v>
      </c>
      <c r="K829" s="64">
        <f>16.6954 * CHOOSE(CONTROL!$C$22, $C$13, 100%, $E$13)</f>
        <v>16.695399999999999</v>
      </c>
    </row>
    <row r="830" spans="1:11" ht="15">
      <c r="A830" s="13">
        <v>66901</v>
      </c>
      <c r="B830" s="63">
        <f>14.3561 * CHOOSE(CONTROL!$C$22, $C$13, 100%, $E$13)</f>
        <v>14.3561</v>
      </c>
      <c r="C830" s="63">
        <f>14.3561 * CHOOSE(CONTROL!$C$22, $C$13, 100%, $E$13)</f>
        <v>14.3561</v>
      </c>
      <c r="D830" s="63">
        <f>14.376 * CHOOSE(CONTROL!$C$22, $C$13, 100%, $E$13)</f>
        <v>14.375999999999999</v>
      </c>
      <c r="E830" s="64">
        <f>16.8387 * CHOOSE(CONTROL!$C$22, $C$13, 100%, $E$13)</f>
        <v>16.838699999999999</v>
      </c>
      <c r="F830" s="64">
        <f>16.8387 * CHOOSE(CONTROL!$C$22, $C$13, 100%, $E$13)</f>
        <v>16.838699999999999</v>
      </c>
      <c r="G830" s="64">
        <f>16.8389 * CHOOSE(CONTROL!$C$22, $C$13, 100%, $E$13)</f>
        <v>16.838899999999999</v>
      </c>
      <c r="H830" s="64">
        <f>27.5563* CHOOSE(CONTROL!$C$22, $C$13, 100%, $E$13)</f>
        <v>27.5563</v>
      </c>
      <c r="I830" s="64">
        <f>27.5564 * CHOOSE(CONTROL!$C$22, $C$13, 100%, $E$13)</f>
        <v>27.5564</v>
      </c>
      <c r="J830" s="64">
        <f>16.8387 * CHOOSE(CONTROL!$C$22, $C$13, 100%, $E$13)</f>
        <v>16.838699999999999</v>
      </c>
      <c r="K830" s="64">
        <f>16.8389 * CHOOSE(CONTROL!$C$22, $C$13, 100%, $E$13)</f>
        <v>16.838899999999999</v>
      </c>
    </row>
    <row r="831" spans="1:11" ht="15">
      <c r="A831" s="13">
        <v>66932</v>
      </c>
      <c r="B831" s="63">
        <f>14.3625 * CHOOSE(CONTROL!$C$22, $C$13, 100%, $E$13)</f>
        <v>14.362500000000001</v>
      </c>
      <c r="C831" s="63">
        <f>14.3625 * CHOOSE(CONTROL!$C$22, $C$13, 100%, $E$13)</f>
        <v>14.362500000000001</v>
      </c>
      <c r="D831" s="63">
        <f>14.3825 * CHOOSE(CONTROL!$C$22, $C$13, 100%, $E$13)</f>
        <v>14.3825</v>
      </c>
      <c r="E831" s="64">
        <f>16.9909 * CHOOSE(CONTROL!$C$22, $C$13, 100%, $E$13)</f>
        <v>16.9909</v>
      </c>
      <c r="F831" s="64">
        <f>16.9909 * CHOOSE(CONTROL!$C$22, $C$13, 100%, $E$13)</f>
        <v>16.9909</v>
      </c>
      <c r="G831" s="64">
        <f>16.9911 * CHOOSE(CONTROL!$C$22, $C$13, 100%, $E$13)</f>
        <v>16.991099999999999</v>
      </c>
      <c r="H831" s="64">
        <f>27.6137* CHOOSE(CONTROL!$C$22, $C$13, 100%, $E$13)</f>
        <v>27.613700000000001</v>
      </c>
      <c r="I831" s="64">
        <f>27.6138 * CHOOSE(CONTROL!$C$22, $C$13, 100%, $E$13)</f>
        <v>27.613800000000001</v>
      </c>
      <c r="J831" s="64">
        <f>16.9909 * CHOOSE(CONTROL!$C$22, $C$13, 100%, $E$13)</f>
        <v>16.9909</v>
      </c>
      <c r="K831" s="64">
        <f>16.9911 * CHOOSE(CONTROL!$C$22, $C$13, 100%, $E$13)</f>
        <v>16.991099999999999</v>
      </c>
    </row>
    <row r="832" spans="1:11" ht="15">
      <c r="A832" s="13">
        <v>66962</v>
      </c>
      <c r="B832" s="63">
        <f>14.3625 * CHOOSE(CONTROL!$C$22, $C$13, 100%, $E$13)</f>
        <v>14.362500000000001</v>
      </c>
      <c r="C832" s="63">
        <f>14.3625 * CHOOSE(CONTROL!$C$22, $C$13, 100%, $E$13)</f>
        <v>14.362500000000001</v>
      </c>
      <c r="D832" s="63">
        <f>14.4025 * CHOOSE(CONTROL!$C$22, $C$13, 100%, $E$13)</f>
        <v>14.4025</v>
      </c>
      <c r="E832" s="64">
        <f>17.0496 * CHOOSE(CONTROL!$C$22, $C$13, 100%, $E$13)</f>
        <v>17.049600000000002</v>
      </c>
      <c r="F832" s="64">
        <f>17.0496 * CHOOSE(CONTROL!$C$22, $C$13, 100%, $E$13)</f>
        <v>17.049600000000002</v>
      </c>
      <c r="G832" s="64">
        <f>17.052 * CHOOSE(CONTROL!$C$22, $C$13, 100%, $E$13)</f>
        <v>17.052</v>
      </c>
      <c r="H832" s="64">
        <f>27.6712* CHOOSE(CONTROL!$C$22, $C$13, 100%, $E$13)</f>
        <v>27.671199999999999</v>
      </c>
      <c r="I832" s="64">
        <f>27.6736 * CHOOSE(CONTROL!$C$22, $C$13, 100%, $E$13)</f>
        <v>27.6736</v>
      </c>
      <c r="J832" s="64">
        <f>17.0496 * CHOOSE(CONTROL!$C$22, $C$13, 100%, $E$13)</f>
        <v>17.049600000000002</v>
      </c>
      <c r="K832" s="64">
        <f>17.052 * CHOOSE(CONTROL!$C$22, $C$13, 100%, $E$13)</f>
        <v>17.052</v>
      </c>
    </row>
    <row r="833" spans="1:11" ht="15">
      <c r="A833" s="13">
        <v>66993</v>
      </c>
      <c r="B833" s="63">
        <f>14.3686 * CHOOSE(CONTROL!$C$22, $C$13, 100%, $E$13)</f>
        <v>14.368600000000001</v>
      </c>
      <c r="C833" s="63">
        <f>14.3686 * CHOOSE(CONTROL!$C$22, $C$13, 100%, $E$13)</f>
        <v>14.368600000000001</v>
      </c>
      <c r="D833" s="63">
        <f>14.4086 * CHOOSE(CONTROL!$C$22, $C$13, 100%, $E$13)</f>
        <v>14.4086</v>
      </c>
      <c r="E833" s="64">
        <f>16.9951 * CHOOSE(CONTROL!$C$22, $C$13, 100%, $E$13)</f>
        <v>16.995100000000001</v>
      </c>
      <c r="F833" s="64">
        <f>16.9951 * CHOOSE(CONTROL!$C$22, $C$13, 100%, $E$13)</f>
        <v>16.995100000000001</v>
      </c>
      <c r="G833" s="64">
        <f>16.9976 * CHOOSE(CONTROL!$C$22, $C$13, 100%, $E$13)</f>
        <v>16.997599999999998</v>
      </c>
      <c r="H833" s="64">
        <f>27.7288* CHOOSE(CONTROL!$C$22, $C$13, 100%, $E$13)</f>
        <v>27.7288</v>
      </c>
      <c r="I833" s="64">
        <f>27.7313 * CHOOSE(CONTROL!$C$22, $C$13, 100%, $E$13)</f>
        <v>27.731300000000001</v>
      </c>
      <c r="J833" s="64">
        <f>16.9951 * CHOOSE(CONTROL!$C$22, $C$13, 100%, $E$13)</f>
        <v>16.995100000000001</v>
      </c>
      <c r="K833" s="64">
        <f>16.9976 * CHOOSE(CONTROL!$C$22, $C$13, 100%, $E$13)</f>
        <v>16.997599999999998</v>
      </c>
    </row>
    <row r="834" spans="1:11" ht="15">
      <c r="A834" s="13">
        <v>67023</v>
      </c>
      <c r="B834" s="63">
        <f>14.594 * CHOOSE(CONTROL!$C$22, $C$13, 100%, $E$13)</f>
        <v>14.593999999999999</v>
      </c>
      <c r="C834" s="63">
        <f>14.594 * CHOOSE(CONTROL!$C$22, $C$13, 100%, $E$13)</f>
        <v>14.593999999999999</v>
      </c>
      <c r="D834" s="63">
        <f>14.634 * CHOOSE(CONTROL!$C$22, $C$13, 100%, $E$13)</f>
        <v>14.634</v>
      </c>
      <c r="E834" s="64">
        <f>17.3187 * CHOOSE(CONTROL!$C$22, $C$13, 100%, $E$13)</f>
        <v>17.3187</v>
      </c>
      <c r="F834" s="64">
        <f>17.3187 * CHOOSE(CONTROL!$C$22, $C$13, 100%, $E$13)</f>
        <v>17.3187</v>
      </c>
      <c r="G834" s="64">
        <f>17.3212 * CHOOSE(CONTROL!$C$22, $C$13, 100%, $E$13)</f>
        <v>17.321200000000001</v>
      </c>
      <c r="H834" s="64">
        <f>27.7866* CHOOSE(CONTROL!$C$22, $C$13, 100%, $E$13)</f>
        <v>27.7866</v>
      </c>
      <c r="I834" s="64">
        <f>27.7891 * CHOOSE(CONTROL!$C$22, $C$13, 100%, $E$13)</f>
        <v>27.789100000000001</v>
      </c>
      <c r="J834" s="64">
        <f>17.3187 * CHOOSE(CONTROL!$C$22, $C$13, 100%, $E$13)</f>
        <v>17.3187</v>
      </c>
      <c r="K834" s="64">
        <f>17.3212 * CHOOSE(CONTROL!$C$22, $C$13, 100%, $E$13)</f>
        <v>17.321200000000001</v>
      </c>
    </row>
    <row r="835" spans="1:11" ht="15">
      <c r="A835" s="13">
        <v>67054</v>
      </c>
      <c r="B835" s="63">
        <f>14.6007 * CHOOSE(CONTROL!$C$22, $C$13, 100%, $E$13)</f>
        <v>14.6007</v>
      </c>
      <c r="C835" s="63">
        <f>14.6007 * CHOOSE(CONTROL!$C$22, $C$13, 100%, $E$13)</f>
        <v>14.6007</v>
      </c>
      <c r="D835" s="63">
        <f>14.6406 * CHOOSE(CONTROL!$C$22, $C$13, 100%, $E$13)</f>
        <v>14.640599999999999</v>
      </c>
      <c r="E835" s="64">
        <f>17.1474 * CHOOSE(CONTROL!$C$22, $C$13, 100%, $E$13)</f>
        <v>17.147400000000001</v>
      </c>
      <c r="F835" s="64">
        <f>17.1474 * CHOOSE(CONTROL!$C$22, $C$13, 100%, $E$13)</f>
        <v>17.147400000000001</v>
      </c>
      <c r="G835" s="64">
        <f>17.1498 * CHOOSE(CONTROL!$C$22, $C$13, 100%, $E$13)</f>
        <v>17.149799999999999</v>
      </c>
      <c r="H835" s="64">
        <f>27.8445* CHOOSE(CONTROL!$C$22, $C$13, 100%, $E$13)</f>
        <v>27.8445</v>
      </c>
      <c r="I835" s="64">
        <f>27.847 * CHOOSE(CONTROL!$C$22, $C$13, 100%, $E$13)</f>
        <v>27.847000000000001</v>
      </c>
      <c r="J835" s="64">
        <f>17.1474 * CHOOSE(CONTROL!$C$22, $C$13, 100%, $E$13)</f>
        <v>17.147400000000001</v>
      </c>
      <c r="K835" s="64">
        <f>17.1498 * CHOOSE(CONTROL!$C$22, $C$13, 100%, $E$13)</f>
        <v>17.149799999999999</v>
      </c>
    </row>
    <row r="836" spans="1:11" ht="15">
      <c r="A836" s="13">
        <v>67085</v>
      </c>
      <c r="B836" s="63">
        <f>14.5977 * CHOOSE(CONTROL!$C$22, $C$13, 100%, $E$13)</f>
        <v>14.5977</v>
      </c>
      <c r="C836" s="63">
        <f>14.5977 * CHOOSE(CONTROL!$C$22, $C$13, 100%, $E$13)</f>
        <v>14.5977</v>
      </c>
      <c r="D836" s="63">
        <f>14.6376 * CHOOSE(CONTROL!$C$22, $C$13, 100%, $E$13)</f>
        <v>14.637600000000001</v>
      </c>
      <c r="E836" s="64">
        <f>17.1257 * CHOOSE(CONTROL!$C$22, $C$13, 100%, $E$13)</f>
        <v>17.125699999999998</v>
      </c>
      <c r="F836" s="64">
        <f>17.1257 * CHOOSE(CONTROL!$C$22, $C$13, 100%, $E$13)</f>
        <v>17.125699999999998</v>
      </c>
      <c r="G836" s="64">
        <f>17.1282 * CHOOSE(CONTROL!$C$22, $C$13, 100%, $E$13)</f>
        <v>17.1282</v>
      </c>
      <c r="H836" s="64">
        <f>27.9025* CHOOSE(CONTROL!$C$22, $C$13, 100%, $E$13)</f>
        <v>27.9025</v>
      </c>
      <c r="I836" s="64">
        <f>27.905 * CHOOSE(CONTROL!$C$22, $C$13, 100%, $E$13)</f>
        <v>27.905000000000001</v>
      </c>
      <c r="J836" s="64">
        <f>17.1257 * CHOOSE(CONTROL!$C$22, $C$13, 100%, $E$13)</f>
        <v>17.125699999999998</v>
      </c>
      <c r="K836" s="64">
        <f>17.1282 * CHOOSE(CONTROL!$C$22, $C$13, 100%, $E$13)</f>
        <v>17.1282</v>
      </c>
    </row>
    <row r="837" spans="1:11" ht="15">
      <c r="A837" s="13">
        <v>67115</v>
      </c>
      <c r="B837" s="63">
        <f>14.6275 * CHOOSE(CONTROL!$C$22, $C$13, 100%, $E$13)</f>
        <v>14.6275</v>
      </c>
      <c r="C837" s="63">
        <f>14.6275 * CHOOSE(CONTROL!$C$22, $C$13, 100%, $E$13)</f>
        <v>14.6275</v>
      </c>
      <c r="D837" s="63">
        <f>14.6475 * CHOOSE(CONTROL!$C$22, $C$13, 100%, $E$13)</f>
        <v>14.647500000000001</v>
      </c>
      <c r="E837" s="64">
        <f>17.1905 * CHOOSE(CONTROL!$C$22, $C$13, 100%, $E$13)</f>
        <v>17.1905</v>
      </c>
      <c r="F837" s="64">
        <f>17.1905 * CHOOSE(CONTROL!$C$22, $C$13, 100%, $E$13)</f>
        <v>17.1905</v>
      </c>
      <c r="G837" s="64">
        <f>17.1907 * CHOOSE(CONTROL!$C$22, $C$13, 100%, $E$13)</f>
        <v>17.1907</v>
      </c>
      <c r="H837" s="64">
        <f>27.9606* CHOOSE(CONTROL!$C$22, $C$13, 100%, $E$13)</f>
        <v>27.960599999999999</v>
      </c>
      <c r="I837" s="64">
        <f>27.9608 * CHOOSE(CONTROL!$C$22, $C$13, 100%, $E$13)</f>
        <v>27.960799999999999</v>
      </c>
      <c r="J837" s="64">
        <f>17.1905 * CHOOSE(CONTROL!$C$22, $C$13, 100%, $E$13)</f>
        <v>17.1905</v>
      </c>
      <c r="K837" s="64">
        <f>17.1907 * CHOOSE(CONTROL!$C$22, $C$13, 100%, $E$13)</f>
        <v>17.1907</v>
      </c>
    </row>
    <row r="838" spans="1:11" ht="15">
      <c r="A838" s="13">
        <v>67146</v>
      </c>
      <c r="B838" s="63">
        <f>14.6305 * CHOOSE(CONTROL!$C$22, $C$13, 100%, $E$13)</f>
        <v>14.6305</v>
      </c>
      <c r="C838" s="63">
        <f>14.6305 * CHOOSE(CONTROL!$C$22, $C$13, 100%, $E$13)</f>
        <v>14.6305</v>
      </c>
      <c r="D838" s="63">
        <f>14.6505 * CHOOSE(CONTROL!$C$22, $C$13, 100%, $E$13)</f>
        <v>14.650499999999999</v>
      </c>
      <c r="E838" s="64">
        <f>17.2317 * CHOOSE(CONTROL!$C$22, $C$13, 100%, $E$13)</f>
        <v>17.2317</v>
      </c>
      <c r="F838" s="64">
        <f>17.2317 * CHOOSE(CONTROL!$C$22, $C$13, 100%, $E$13)</f>
        <v>17.2317</v>
      </c>
      <c r="G838" s="64">
        <f>17.2319 * CHOOSE(CONTROL!$C$22, $C$13, 100%, $E$13)</f>
        <v>17.2319</v>
      </c>
      <c r="H838" s="64">
        <f>28.0189* CHOOSE(CONTROL!$C$22, $C$13, 100%, $E$13)</f>
        <v>28.018899999999999</v>
      </c>
      <c r="I838" s="64">
        <f>28.0191 * CHOOSE(CONTROL!$C$22, $C$13, 100%, $E$13)</f>
        <v>28.019100000000002</v>
      </c>
      <c r="J838" s="64">
        <f>17.2317 * CHOOSE(CONTROL!$C$22, $C$13, 100%, $E$13)</f>
        <v>17.2317</v>
      </c>
      <c r="K838" s="64">
        <f>17.2319 * CHOOSE(CONTROL!$C$22, $C$13, 100%, $E$13)</f>
        <v>17.2319</v>
      </c>
    </row>
    <row r="839" spans="1:11" ht="15">
      <c r="A839" s="13">
        <v>67176</v>
      </c>
      <c r="B839" s="63">
        <f>14.6305 * CHOOSE(CONTROL!$C$22, $C$13, 100%, $E$13)</f>
        <v>14.6305</v>
      </c>
      <c r="C839" s="63">
        <f>14.6305 * CHOOSE(CONTROL!$C$22, $C$13, 100%, $E$13)</f>
        <v>14.6305</v>
      </c>
      <c r="D839" s="63">
        <f>14.6505 * CHOOSE(CONTROL!$C$22, $C$13, 100%, $E$13)</f>
        <v>14.650499999999999</v>
      </c>
      <c r="E839" s="64">
        <f>17.134 * CHOOSE(CONTROL!$C$22, $C$13, 100%, $E$13)</f>
        <v>17.134</v>
      </c>
      <c r="F839" s="64">
        <f>17.134 * CHOOSE(CONTROL!$C$22, $C$13, 100%, $E$13)</f>
        <v>17.134</v>
      </c>
      <c r="G839" s="64">
        <f>17.1342 * CHOOSE(CONTROL!$C$22, $C$13, 100%, $E$13)</f>
        <v>17.1342</v>
      </c>
      <c r="H839" s="64">
        <f>28.0773* CHOOSE(CONTROL!$C$22, $C$13, 100%, $E$13)</f>
        <v>28.077300000000001</v>
      </c>
      <c r="I839" s="64">
        <f>28.0774 * CHOOSE(CONTROL!$C$22, $C$13, 100%, $E$13)</f>
        <v>28.077400000000001</v>
      </c>
      <c r="J839" s="64">
        <f>17.134 * CHOOSE(CONTROL!$C$22, $C$13, 100%, $E$13)</f>
        <v>17.134</v>
      </c>
      <c r="K839" s="64">
        <f>17.1342 * CHOOSE(CONTROL!$C$22, $C$13, 100%, $E$13)</f>
        <v>17.1342</v>
      </c>
    </row>
    <row r="840" spans="1:11" ht="15">
      <c r="A840" s="13">
        <v>67207</v>
      </c>
      <c r="B840" s="63">
        <f>14.6075 * CHOOSE(CONTROL!$C$22, $C$13, 100%, $E$13)</f>
        <v>14.6075</v>
      </c>
      <c r="C840" s="63">
        <f>14.6075 * CHOOSE(CONTROL!$C$22, $C$13, 100%, $E$13)</f>
        <v>14.6075</v>
      </c>
      <c r="D840" s="63">
        <f>14.6274 * CHOOSE(CONTROL!$C$22, $C$13, 100%, $E$13)</f>
        <v>14.6274</v>
      </c>
      <c r="E840" s="64">
        <f>17.1745 * CHOOSE(CONTROL!$C$22, $C$13, 100%, $E$13)</f>
        <v>17.174499999999998</v>
      </c>
      <c r="F840" s="64">
        <f>17.1745 * CHOOSE(CONTROL!$C$22, $C$13, 100%, $E$13)</f>
        <v>17.174499999999998</v>
      </c>
      <c r="G840" s="64">
        <f>17.1747 * CHOOSE(CONTROL!$C$22, $C$13, 100%, $E$13)</f>
        <v>17.174700000000001</v>
      </c>
      <c r="H840" s="64">
        <f>27.8877* CHOOSE(CONTROL!$C$22, $C$13, 100%, $E$13)</f>
        <v>27.887699999999999</v>
      </c>
      <c r="I840" s="64">
        <f>27.8879 * CHOOSE(CONTROL!$C$22, $C$13, 100%, $E$13)</f>
        <v>27.887899999999998</v>
      </c>
      <c r="J840" s="64">
        <f>17.1745 * CHOOSE(CONTROL!$C$22, $C$13, 100%, $E$13)</f>
        <v>17.174499999999998</v>
      </c>
      <c r="K840" s="64">
        <f>17.1747 * CHOOSE(CONTROL!$C$22, $C$13, 100%, $E$13)</f>
        <v>17.174700000000001</v>
      </c>
    </row>
    <row r="841" spans="1:11" ht="15">
      <c r="A841" s="13">
        <v>67238</v>
      </c>
      <c r="B841" s="63">
        <f>14.6044 * CHOOSE(CONTROL!$C$22, $C$13, 100%, $E$13)</f>
        <v>14.6044</v>
      </c>
      <c r="C841" s="63">
        <f>14.6044 * CHOOSE(CONTROL!$C$22, $C$13, 100%, $E$13)</f>
        <v>14.6044</v>
      </c>
      <c r="D841" s="63">
        <f>14.6244 * CHOOSE(CONTROL!$C$22, $C$13, 100%, $E$13)</f>
        <v>14.6244</v>
      </c>
      <c r="E841" s="64">
        <f>16.9844 * CHOOSE(CONTROL!$C$22, $C$13, 100%, $E$13)</f>
        <v>16.984400000000001</v>
      </c>
      <c r="F841" s="64">
        <f>16.9844 * CHOOSE(CONTROL!$C$22, $C$13, 100%, $E$13)</f>
        <v>16.984400000000001</v>
      </c>
      <c r="G841" s="64">
        <f>16.9846 * CHOOSE(CONTROL!$C$22, $C$13, 100%, $E$13)</f>
        <v>16.9846</v>
      </c>
      <c r="H841" s="64">
        <f>27.9458* CHOOSE(CONTROL!$C$22, $C$13, 100%, $E$13)</f>
        <v>27.945799999999998</v>
      </c>
      <c r="I841" s="64">
        <f>27.946 * CHOOSE(CONTROL!$C$22, $C$13, 100%, $E$13)</f>
        <v>27.946000000000002</v>
      </c>
      <c r="J841" s="64">
        <f>16.9844 * CHOOSE(CONTROL!$C$22, $C$13, 100%, $E$13)</f>
        <v>16.984400000000001</v>
      </c>
      <c r="K841" s="64">
        <f>16.9846 * CHOOSE(CONTROL!$C$22, $C$13, 100%, $E$13)</f>
        <v>16.9846</v>
      </c>
    </row>
    <row r="842" spans="1:11" ht="15">
      <c r="A842" s="13">
        <v>67267</v>
      </c>
      <c r="B842" s="63">
        <f>14.6014 * CHOOSE(CONTROL!$C$22, $C$13, 100%, $E$13)</f>
        <v>14.6014</v>
      </c>
      <c r="C842" s="63">
        <f>14.6014 * CHOOSE(CONTROL!$C$22, $C$13, 100%, $E$13)</f>
        <v>14.6014</v>
      </c>
      <c r="D842" s="63">
        <f>14.6213 * CHOOSE(CONTROL!$C$22, $C$13, 100%, $E$13)</f>
        <v>14.6213</v>
      </c>
      <c r="E842" s="64">
        <f>17.1305 * CHOOSE(CONTROL!$C$22, $C$13, 100%, $E$13)</f>
        <v>17.130500000000001</v>
      </c>
      <c r="F842" s="64">
        <f>17.1305 * CHOOSE(CONTROL!$C$22, $C$13, 100%, $E$13)</f>
        <v>17.130500000000001</v>
      </c>
      <c r="G842" s="64">
        <f>17.1306 * CHOOSE(CONTROL!$C$22, $C$13, 100%, $E$13)</f>
        <v>17.130600000000001</v>
      </c>
      <c r="H842" s="64">
        <f>28.004* CHOOSE(CONTROL!$C$22, $C$13, 100%, $E$13)</f>
        <v>28.004000000000001</v>
      </c>
      <c r="I842" s="64">
        <f>28.0042 * CHOOSE(CONTROL!$C$22, $C$13, 100%, $E$13)</f>
        <v>28.004200000000001</v>
      </c>
      <c r="J842" s="64">
        <f>17.1305 * CHOOSE(CONTROL!$C$22, $C$13, 100%, $E$13)</f>
        <v>17.130500000000001</v>
      </c>
      <c r="K842" s="64">
        <f>17.1306 * CHOOSE(CONTROL!$C$22, $C$13, 100%, $E$13)</f>
        <v>17.130600000000001</v>
      </c>
    </row>
    <row r="843" spans="1:11" ht="15">
      <c r="A843" s="13">
        <v>67298</v>
      </c>
      <c r="B843" s="63">
        <f>14.6081 * CHOOSE(CONTROL!$C$22, $C$13, 100%, $E$13)</f>
        <v>14.6081</v>
      </c>
      <c r="C843" s="63">
        <f>14.6081 * CHOOSE(CONTROL!$C$22, $C$13, 100%, $E$13)</f>
        <v>14.6081</v>
      </c>
      <c r="D843" s="63">
        <f>14.628 * CHOOSE(CONTROL!$C$22, $C$13, 100%, $E$13)</f>
        <v>14.628</v>
      </c>
      <c r="E843" s="64">
        <f>17.2854 * CHOOSE(CONTROL!$C$22, $C$13, 100%, $E$13)</f>
        <v>17.285399999999999</v>
      </c>
      <c r="F843" s="64">
        <f>17.2854 * CHOOSE(CONTROL!$C$22, $C$13, 100%, $E$13)</f>
        <v>17.285399999999999</v>
      </c>
      <c r="G843" s="64">
        <f>17.2855 * CHOOSE(CONTROL!$C$22, $C$13, 100%, $E$13)</f>
        <v>17.285499999999999</v>
      </c>
      <c r="H843" s="64">
        <f>28.0624* CHOOSE(CONTROL!$C$22, $C$13, 100%, $E$13)</f>
        <v>28.0624</v>
      </c>
      <c r="I843" s="64">
        <f>28.0625 * CHOOSE(CONTROL!$C$22, $C$13, 100%, $E$13)</f>
        <v>28.0625</v>
      </c>
      <c r="J843" s="64">
        <f>17.2854 * CHOOSE(CONTROL!$C$22, $C$13, 100%, $E$13)</f>
        <v>17.285399999999999</v>
      </c>
      <c r="K843" s="64">
        <f>17.2855 * CHOOSE(CONTROL!$C$22, $C$13, 100%, $E$13)</f>
        <v>17.285499999999999</v>
      </c>
    </row>
    <row r="844" spans="1:11" ht="15">
      <c r="A844" s="13">
        <v>67328</v>
      </c>
      <c r="B844" s="63">
        <f>14.6081 * CHOOSE(CONTROL!$C$22, $C$13, 100%, $E$13)</f>
        <v>14.6081</v>
      </c>
      <c r="C844" s="63">
        <f>14.6081 * CHOOSE(CONTROL!$C$22, $C$13, 100%, $E$13)</f>
        <v>14.6081</v>
      </c>
      <c r="D844" s="63">
        <f>14.648 * CHOOSE(CONTROL!$C$22, $C$13, 100%, $E$13)</f>
        <v>14.648</v>
      </c>
      <c r="E844" s="64">
        <f>17.345 * CHOOSE(CONTROL!$C$22, $C$13, 100%, $E$13)</f>
        <v>17.344999999999999</v>
      </c>
      <c r="F844" s="64">
        <f>17.345 * CHOOSE(CONTROL!$C$22, $C$13, 100%, $E$13)</f>
        <v>17.344999999999999</v>
      </c>
      <c r="G844" s="64">
        <f>17.3475 * CHOOSE(CONTROL!$C$22, $C$13, 100%, $E$13)</f>
        <v>17.3475</v>
      </c>
      <c r="H844" s="64">
        <f>28.1208* CHOOSE(CONTROL!$C$22, $C$13, 100%, $E$13)</f>
        <v>28.120799999999999</v>
      </c>
      <c r="I844" s="64">
        <f>28.1233 * CHOOSE(CONTROL!$C$22, $C$13, 100%, $E$13)</f>
        <v>28.1233</v>
      </c>
      <c r="J844" s="64">
        <f>17.345 * CHOOSE(CONTROL!$C$22, $C$13, 100%, $E$13)</f>
        <v>17.344999999999999</v>
      </c>
      <c r="K844" s="64">
        <f>17.3475 * CHOOSE(CONTROL!$C$22, $C$13, 100%, $E$13)</f>
        <v>17.3475</v>
      </c>
    </row>
    <row r="845" spans="1:11" ht="15">
      <c r="A845" s="13">
        <v>67359</v>
      </c>
      <c r="B845" s="63">
        <f>14.6142 * CHOOSE(CONTROL!$C$22, $C$13, 100%, $E$13)</f>
        <v>14.6142</v>
      </c>
      <c r="C845" s="63">
        <f>14.6142 * CHOOSE(CONTROL!$C$22, $C$13, 100%, $E$13)</f>
        <v>14.6142</v>
      </c>
      <c r="D845" s="63">
        <f>14.6541 * CHOOSE(CONTROL!$C$22, $C$13, 100%, $E$13)</f>
        <v>14.6541</v>
      </c>
      <c r="E845" s="64">
        <f>17.2896 * CHOOSE(CONTROL!$C$22, $C$13, 100%, $E$13)</f>
        <v>17.2896</v>
      </c>
      <c r="F845" s="64">
        <f>17.2896 * CHOOSE(CONTROL!$C$22, $C$13, 100%, $E$13)</f>
        <v>17.2896</v>
      </c>
      <c r="G845" s="64">
        <f>17.292 * CHOOSE(CONTROL!$C$22, $C$13, 100%, $E$13)</f>
        <v>17.292000000000002</v>
      </c>
      <c r="H845" s="64">
        <f>28.1794* CHOOSE(CONTROL!$C$22, $C$13, 100%, $E$13)</f>
        <v>28.179400000000001</v>
      </c>
      <c r="I845" s="64">
        <f>28.1819 * CHOOSE(CONTROL!$C$22, $C$13, 100%, $E$13)</f>
        <v>28.181899999999999</v>
      </c>
      <c r="J845" s="64">
        <f>17.2896 * CHOOSE(CONTROL!$C$22, $C$13, 100%, $E$13)</f>
        <v>17.2896</v>
      </c>
      <c r="K845" s="64">
        <f>17.292 * CHOOSE(CONTROL!$C$22, $C$13, 100%, $E$13)</f>
        <v>17.292000000000002</v>
      </c>
    </row>
    <row r="846" spans="1:11" ht="15">
      <c r="A846" s="13">
        <v>67389</v>
      </c>
      <c r="B846" s="63">
        <f>14.8432 * CHOOSE(CONTROL!$C$22, $C$13, 100%, $E$13)</f>
        <v>14.8432</v>
      </c>
      <c r="C846" s="63">
        <f>14.8432 * CHOOSE(CONTROL!$C$22, $C$13, 100%, $E$13)</f>
        <v>14.8432</v>
      </c>
      <c r="D846" s="63">
        <f>14.8832 * CHOOSE(CONTROL!$C$22, $C$13, 100%, $E$13)</f>
        <v>14.8832</v>
      </c>
      <c r="E846" s="64">
        <f>17.6186 * CHOOSE(CONTROL!$C$22, $C$13, 100%, $E$13)</f>
        <v>17.618600000000001</v>
      </c>
      <c r="F846" s="64">
        <f>17.6186 * CHOOSE(CONTROL!$C$22, $C$13, 100%, $E$13)</f>
        <v>17.618600000000001</v>
      </c>
      <c r="G846" s="64">
        <f>17.621 * CHOOSE(CONTROL!$C$22, $C$13, 100%, $E$13)</f>
        <v>17.620999999999999</v>
      </c>
      <c r="H846" s="64">
        <f>28.2381* CHOOSE(CONTROL!$C$22, $C$13, 100%, $E$13)</f>
        <v>28.238099999999999</v>
      </c>
      <c r="I846" s="64">
        <f>28.2406 * CHOOSE(CONTROL!$C$22, $C$13, 100%, $E$13)</f>
        <v>28.240600000000001</v>
      </c>
      <c r="J846" s="64">
        <f>17.6186 * CHOOSE(CONTROL!$C$22, $C$13, 100%, $E$13)</f>
        <v>17.618600000000001</v>
      </c>
      <c r="K846" s="64">
        <f>17.621 * CHOOSE(CONTROL!$C$22, $C$13, 100%, $E$13)</f>
        <v>17.620999999999999</v>
      </c>
    </row>
    <row r="847" spans="1:11" ht="15">
      <c r="A847" s="13">
        <v>67420</v>
      </c>
      <c r="B847" s="63">
        <f>14.8499 * CHOOSE(CONTROL!$C$22, $C$13, 100%, $E$13)</f>
        <v>14.8499</v>
      </c>
      <c r="C847" s="63">
        <f>14.8499 * CHOOSE(CONTROL!$C$22, $C$13, 100%, $E$13)</f>
        <v>14.8499</v>
      </c>
      <c r="D847" s="63">
        <f>14.8899 * CHOOSE(CONTROL!$C$22, $C$13, 100%, $E$13)</f>
        <v>14.889900000000001</v>
      </c>
      <c r="E847" s="64">
        <f>17.4442 * CHOOSE(CONTROL!$C$22, $C$13, 100%, $E$13)</f>
        <v>17.444199999999999</v>
      </c>
      <c r="F847" s="64">
        <f>17.4442 * CHOOSE(CONTROL!$C$22, $C$13, 100%, $E$13)</f>
        <v>17.444199999999999</v>
      </c>
      <c r="G847" s="64">
        <f>17.4467 * CHOOSE(CONTROL!$C$22, $C$13, 100%, $E$13)</f>
        <v>17.4467</v>
      </c>
      <c r="H847" s="64">
        <f>28.2969* CHOOSE(CONTROL!$C$22, $C$13, 100%, $E$13)</f>
        <v>28.296900000000001</v>
      </c>
      <c r="I847" s="64">
        <f>28.2994 * CHOOSE(CONTROL!$C$22, $C$13, 100%, $E$13)</f>
        <v>28.299399999999999</v>
      </c>
      <c r="J847" s="64">
        <f>17.4442 * CHOOSE(CONTROL!$C$22, $C$13, 100%, $E$13)</f>
        <v>17.444199999999999</v>
      </c>
      <c r="K847" s="64">
        <f>17.4467 * CHOOSE(CONTROL!$C$22, $C$13, 100%, $E$13)</f>
        <v>17.4467</v>
      </c>
    </row>
    <row r="848" spans="1:11" ht="15">
      <c r="A848" s="13">
        <v>67451</v>
      </c>
      <c r="B848" s="63">
        <f>14.8469 * CHOOSE(CONTROL!$C$22, $C$13, 100%, $E$13)</f>
        <v>14.8469</v>
      </c>
      <c r="C848" s="63">
        <f>14.8469 * CHOOSE(CONTROL!$C$22, $C$13, 100%, $E$13)</f>
        <v>14.8469</v>
      </c>
      <c r="D848" s="63">
        <f>14.8868 * CHOOSE(CONTROL!$C$22, $C$13, 100%, $E$13)</f>
        <v>14.886799999999999</v>
      </c>
      <c r="E848" s="64">
        <f>17.4222 * CHOOSE(CONTROL!$C$22, $C$13, 100%, $E$13)</f>
        <v>17.4222</v>
      </c>
      <c r="F848" s="64">
        <f>17.4222 * CHOOSE(CONTROL!$C$22, $C$13, 100%, $E$13)</f>
        <v>17.4222</v>
      </c>
      <c r="G848" s="64">
        <f>17.4247 * CHOOSE(CONTROL!$C$22, $C$13, 100%, $E$13)</f>
        <v>17.424700000000001</v>
      </c>
      <c r="H848" s="64">
        <f>28.3559* CHOOSE(CONTROL!$C$22, $C$13, 100%, $E$13)</f>
        <v>28.355899999999998</v>
      </c>
      <c r="I848" s="64">
        <f>28.3583 * CHOOSE(CONTROL!$C$22, $C$13, 100%, $E$13)</f>
        <v>28.3583</v>
      </c>
      <c r="J848" s="64">
        <f>17.4222 * CHOOSE(CONTROL!$C$22, $C$13, 100%, $E$13)</f>
        <v>17.4222</v>
      </c>
      <c r="K848" s="64">
        <f>17.4247 * CHOOSE(CONTROL!$C$22, $C$13, 100%, $E$13)</f>
        <v>17.424700000000001</v>
      </c>
    </row>
    <row r="849" spans="1:11" ht="15">
      <c r="A849" s="13">
        <v>67481</v>
      </c>
      <c r="B849" s="63">
        <f>14.8775 * CHOOSE(CONTROL!$C$22, $C$13, 100%, $E$13)</f>
        <v>14.8775</v>
      </c>
      <c r="C849" s="63">
        <f>14.8775 * CHOOSE(CONTROL!$C$22, $C$13, 100%, $E$13)</f>
        <v>14.8775</v>
      </c>
      <c r="D849" s="63">
        <f>14.8975 * CHOOSE(CONTROL!$C$22, $C$13, 100%, $E$13)</f>
        <v>14.897500000000001</v>
      </c>
      <c r="E849" s="64">
        <f>17.4884 * CHOOSE(CONTROL!$C$22, $C$13, 100%, $E$13)</f>
        <v>17.488399999999999</v>
      </c>
      <c r="F849" s="64">
        <f>17.4884 * CHOOSE(CONTROL!$C$22, $C$13, 100%, $E$13)</f>
        <v>17.488399999999999</v>
      </c>
      <c r="G849" s="64">
        <f>17.4885 * CHOOSE(CONTROL!$C$22, $C$13, 100%, $E$13)</f>
        <v>17.488499999999998</v>
      </c>
      <c r="H849" s="64">
        <f>28.415* CHOOSE(CONTROL!$C$22, $C$13, 100%, $E$13)</f>
        <v>28.414999999999999</v>
      </c>
      <c r="I849" s="64">
        <f>28.4151 * CHOOSE(CONTROL!$C$22, $C$13, 100%, $E$13)</f>
        <v>28.415099999999999</v>
      </c>
      <c r="J849" s="64">
        <f>17.4884 * CHOOSE(CONTROL!$C$22, $C$13, 100%, $E$13)</f>
        <v>17.488399999999999</v>
      </c>
      <c r="K849" s="64">
        <f>17.4885 * CHOOSE(CONTROL!$C$22, $C$13, 100%, $E$13)</f>
        <v>17.488499999999998</v>
      </c>
    </row>
    <row r="850" spans="1:11" ht="15">
      <c r="A850" s="13">
        <v>67512</v>
      </c>
      <c r="B850" s="63">
        <f>14.8806 * CHOOSE(CONTROL!$C$22, $C$13, 100%, $E$13)</f>
        <v>14.880599999999999</v>
      </c>
      <c r="C850" s="63">
        <f>14.8806 * CHOOSE(CONTROL!$C$22, $C$13, 100%, $E$13)</f>
        <v>14.880599999999999</v>
      </c>
      <c r="D850" s="63">
        <f>14.9005 * CHOOSE(CONTROL!$C$22, $C$13, 100%, $E$13)</f>
        <v>14.900499999999999</v>
      </c>
      <c r="E850" s="64">
        <f>17.5303 * CHOOSE(CONTROL!$C$22, $C$13, 100%, $E$13)</f>
        <v>17.5303</v>
      </c>
      <c r="F850" s="64">
        <f>17.5303 * CHOOSE(CONTROL!$C$22, $C$13, 100%, $E$13)</f>
        <v>17.5303</v>
      </c>
      <c r="G850" s="64">
        <f>17.5304 * CHOOSE(CONTROL!$C$22, $C$13, 100%, $E$13)</f>
        <v>17.5304</v>
      </c>
      <c r="H850" s="64">
        <f>28.4742* CHOOSE(CONTROL!$C$22, $C$13, 100%, $E$13)</f>
        <v>28.4742</v>
      </c>
      <c r="I850" s="64">
        <f>28.4743 * CHOOSE(CONTROL!$C$22, $C$13, 100%, $E$13)</f>
        <v>28.474299999999999</v>
      </c>
      <c r="J850" s="64">
        <f>17.5303 * CHOOSE(CONTROL!$C$22, $C$13, 100%, $E$13)</f>
        <v>17.5303</v>
      </c>
      <c r="K850" s="64">
        <f>17.5304 * CHOOSE(CONTROL!$C$22, $C$13, 100%, $E$13)</f>
        <v>17.5304</v>
      </c>
    </row>
    <row r="851" spans="1:11" ht="15">
      <c r="A851" s="13">
        <v>67542</v>
      </c>
      <c r="B851" s="63">
        <f>14.8806 * CHOOSE(CONTROL!$C$22, $C$13, 100%, $E$13)</f>
        <v>14.880599999999999</v>
      </c>
      <c r="C851" s="63">
        <f>14.8806 * CHOOSE(CONTROL!$C$22, $C$13, 100%, $E$13)</f>
        <v>14.880599999999999</v>
      </c>
      <c r="D851" s="63">
        <f>14.9005 * CHOOSE(CONTROL!$C$22, $C$13, 100%, $E$13)</f>
        <v>14.900499999999999</v>
      </c>
      <c r="E851" s="64">
        <f>17.4308 * CHOOSE(CONTROL!$C$22, $C$13, 100%, $E$13)</f>
        <v>17.430800000000001</v>
      </c>
      <c r="F851" s="64">
        <f>17.4308 * CHOOSE(CONTROL!$C$22, $C$13, 100%, $E$13)</f>
        <v>17.430800000000001</v>
      </c>
      <c r="G851" s="64">
        <f>17.431 * CHOOSE(CONTROL!$C$22, $C$13, 100%, $E$13)</f>
        <v>17.431000000000001</v>
      </c>
      <c r="H851" s="64">
        <f>28.5335* CHOOSE(CONTROL!$C$22, $C$13, 100%, $E$13)</f>
        <v>28.5335</v>
      </c>
      <c r="I851" s="64">
        <f>28.5337 * CHOOSE(CONTROL!$C$22, $C$13, 100%, $E$13)</f>
        <v>28.5337</v>
      </c>
      <c r="J851" s="64">
        <f>17.4308 * CHOOSE(CONTROL!$C$22, $C$13, 100%, $E$13)</f>
        <v>17.430800000000001</v>
      </c>
      <c r="K851" s="64">
        <f>17.431 * CHOOSE(CONTROL!$C$22, $C$13, 100%, $E$13)</f>
        <v>17.431000000000001</v>
      </c>
    </row>
    <row r="852" spans="1:11" ht="15">
      <c r="A852" s="13">
        <v>67573</v>
      </c>
      <c r="B852" s="63">
        <f>14.8528 * CHOOSE(CONTROL!$C$22, $C$13, 100%, $E$13)</f>
        <v>14.8528</v>
      </c>
      <c r="C852" s="63">
        <f>14.8528 * CHOOSE(CONTROL!$C$22, $C$13, 100%, $E$13)</f>
        <v>14.8528</v>
      </c>
      <c r="D852" s="63">
        <f>14.8727 * CHOOSE(CONTROL!$C$22, $C$13, 100%, $E$13)</f>
        <v>14.8727</v>
      </c>
      <c r="E852" s="64">
        <f>17.4669 * CHOOSE(CONTROL!$C$22, $C$13, 100%, $E$13)</f>
        <v>17.466899999999999</v>
      </c>
      <c r="F852" s="64">
        <f>17.4669 * CHOOSE(CONTROL!$C$22, $C$13, 100%, $E$13)</f>
        <v>17.466899999999999</v>
      </c>
      <c r="G852" s="64">
        <f>17.4671 * CHOOSE(CONTROL!$C$22, $C$13, 100%, $E$13)</f>
        <v>17.467099999999999</v>
      </c>
      <c r="H852" s="64">
        <f>28.3336* CHOOSE(CONTROL!$C$22, $C$13, 100%, $E$13)</f>
        <v>28.333600000000001</v>
      </c>
      <c r="I852" s="64">
        <f>28.3338 * CHOOSE(CONTROL!$C$22, $C$13, 100%, $E$13)</f>
        <v>28.3338</v>
      </c>
      <c r="J852" s="64">
        <f>17.4669 * CHOOSE(CONTROL!$C$22, $C$13, 100%, $E$13)</f>
        <v>17.466899999999999</v>
      </c>
      <c r="K852" s="64">
        <f>17.4671 * CHOOSE(CONTROL!$C$22, $C$13, 100%, $E$13)</f>
        <v>17.467099999999999</v>
      </c>
    </row>
    <row r="853" spans="1:11" ht="15">
      <c r="A853" s="13">
        <v>67604</v>
      </c>
      <c r="B853" s="63">
        <f>14.8497 * CHOOSE(CONTROL!$C$22, $C$13, 100%, $E$13)</f>
        <v>14.8497</v>
      </c>
      <c r="C853" s="63">
        <f>14.8497 * CHOOSE(CONTROL!$C$22, $C$13, 100%, $E$13)</f>
        <v>14.8497</v>
      </c>
      <c r="D853" s="63">
        <f>14.8697 * CHOOSE(CONTROL!$C$22, $C$13, 100%, $E$13)</f>
        <v>14.8697</v>
      </c>
      <c r="E853" s="64">
        <f>17.2736 * CHOOSE(CONTROL!$C$22, $C$13, 100%, $E$13)</f>
        <v>17.273599999999998</v>
      </c>
      <c r="F853" s="64">
        <f>17.2736 * CHOOSE(CONTROL!$C$22, $C$13, 100%, $E$13)</f>
        <v>17.273599999999998</v>
      </c>
      <c r="G853" s="64">
        <f>17.2738 * CHOOSE(CONTROL!$C$22, $C$13, 100%, $E$13)</f>
        <v>17.273800000000001</v>
      </c>
      <c r="H853" s="64">
        <f>28.3926* CHOOSE(CONTROL!$C$22, $C$13, 100%, $E$13)</f>
        <v>28.392600000000002</v>
      </c>
      <c r="I853" s="64">
        <f>28.3928 * CHOOSE(CONTROL!$C$22, $C$13, 100%, $E$13)</f>
        <v>28.392800000000001</v>
      </c>
      <c r="J853" s="64">
        <f>17.2736 * CHOOSE(CONTROL!$C$22, $C$13, 100%, $E$13)</f>
        <v>17.273599999999998</v>
      </c>
      <c r="K853" s="64">
        <f>17.2738 * CHOOSE(CONTROL!$C$22, $C$13, 100%, $E$13)</f>
        <v>17.273800000000001</v>
      </c>
    </row>
    <row r="854" spans="1:11" ht="15">
      <c r="A854" s="13">
        <v>67632</v>
      </c>
      <c r="B854" s="63">
        <f>14.8467 * CHOOSE(CONTROL!$C$22, $C$13, 100%, $E$13)</f>
        <v>14.8467</v>
      </c>
      <c r="C854" s="63">
        <f>14.8467 * CHOOSE(CONTROL!$C$22, $C$13, 100%, $E$13)</f>
        <v>14.8467</v>
      </c>
      <c r="D854" s="63">
        <f>14.8667 * CHOOSE(CONTROL!$C$22, $C$13, 100%, $E$13)</f>
        <v>14.8667</v>
      </c>
      <c r="E854" s="64">
        <f>17.4222 * CHOOSE(CONTROL!$C$22, $C$13, 100%, $E$13)</f>
        <v>17.4222</v>
      </c>
      <c r="F854" s="64">
        <f>17.4222 * CHOOSE(CONTROL!$C$22, $C$13, 100%, $E$13)</f>
        <v>17.4222</v>
      </c>
      <c r="G854" s="64">
        <f>17.4224 * CHOOSE(CONTROL!$C$22, $C$13, 100%, $E$13)</f>
        <v>17.4224</v>
      </c>
      <c r="H854" s="64">
        <f>28.4518* CHOOSE(CONTROL!$C$22, $C$13, 100%, $E$13)</f>
        <v>28.451799999999999</v>
      </c>
      <c r="I854" s="64">
        <f>28.4519 * CHOOSE(CONTROL!$C$22, $C$13, 100%, $E$13)</f>
        <v>28.451899999999998</v>
      </c>
      <c r="J854" s="64">
        <f>17.4222 * CHOOSE(CONTROL!$C$22, $C$13, 100%, $E$13)</f>
        <v>17.4222</v>
      </c>
      <c r="K854" s="64">
        <f>17.4224 * CHOOSE(CONTROL!$C$22, $C$13, 100%, $E$13)</f>
        <v>17.4224</v>
      </c>
    </row>
    <row r="855" spans="1:11" ht="15">
      <c r="A855" s="13">
        <v>67663</v>
      </c>
      <c r="B855" s="63">
        <f>14.8536 * CHOOSE(CONTROL!$C$22, $C$13, 100%, $E$13)</f>
        <v>14.8536</v>
      </c>
      <c r="C855" s="63">
        <f>14.8536 * CHOOSE(CONTROL!$C$22, $C$13, 100%, $E$13)</f>
        <v>14.8536</v>
      </c>
      <c r="D855" s="63">
        <f>14.8736 * CHOOSE(CONTROL!$C$22, $C$13, 100%, $E$13)</f>
        <v>14.8736</v>
      </c>
      <c r="E855" s="64">
        <f>17.5798 * CHOOSE(CONTROL!$C$22, $C$13, 100%, $E$13)</f>
        <v>17.579799999999999</v>
      </c>
      <c r="F855" s="64">
        <f>17.5798 * CHOOSE(CONTROL!$C$22, $C$13, 100%, $E$13)</f>
        <v>17.579799999999999</v>
      </c>
      <c r="G855" s="64">
        <f>17.58 * CHOOSE(CONTROL!$C$22, $C$13, 100%, $E$13)</f>
        <v>17.579999999999998</v>
      </c>
      <c r="H855" s="64">
        <f>28.511* CHOOSE(CONTROL!$C$22, $C$13, 100%, $E$13)</f>
        <v>28.510999999999999</v>
      </c>
      <c r="I855" s="64">
        <f>28.5112 * CHOOSE(CONTROL!$C$22, $C$13, 100%, $E$13)</f>
        <v>28.511199999999999</v>
      </c>
      <c r="J855" s="64">
        <f>17.5798 * CHOOSE(CONTROL!$C$22, $C$13, 100%, $E$13)</f>
        <v>17.579799999999999</v>
      </c>
      <c r="K855" s="64">
        <f>17.58 * CHOOSE(CONTROL!$C$22, $C$13, 100%, $E$13)</f>
        <v>17.579999999999998</v>
      </c>
    </row>
    <row r="856" spans="1:11" ht="15">
      <c r="A856" s="13">
        <v>67693</v>
      </c>
      <c r="B856" s="63">
        <f>14.8536 * CHOOSE(CONTROL!$C$22, $C$13, 100%, $E$13)</f>
        <v>14.8536</v>
      </c>
      <c r="C856" s="63">
        <f>14.8536 * CHOOSE(CONTROL!$C$22, $C$13, 100%, $E$13)</f>
        <v>14.8536</v>
      </c>
      <c r="D856" s="63">
        <f>14.8935 * CHOOSE(CONTROL!$C$22, $C$13, 100%, $E$13)</f>
        <v>14.8935</v>
      </c>
      <c r="E856" s="64">
        <f>17.6405 * CHOOSE(CONTROL!$C$22, $C$13, 100%, $E$13)</f>
        <v>17.640499999999999</v>
      </c>
      <c r="F856" s="64">
        <f>17.6405 * CHOOSE(CONTROL!$C$22, $C$13, 100%, $E$13)</f>
        <v>17.640499999999999</v>
      </c>
      <c r="G856" s="64">
        <f>17.6429 * CHOOSE(CONTROL!$C$22, $C$13, 100%, $E$13)</f>
        <v>17.642900000000001</v>
      </c>
      <c r="H856" s="64">
        <f>28.5704* CHOOSE(CONTROL!$C$22, $C$13, 100%, $E$13)</f>
        <v>28.570399999999999</v>
      </c>
      <c r="I856" s="64">
        <f>28.5729 * CHOOSE(CONTROL!$C$22, $C$13, 100%, $E$13)</f>
        <v>28.572900000000001</v>
      </c>
      <c r="J856" s="64">
        <f>17.6405 * CHOOSE(CONTROL!$C$22, $C$13, 100%, $E$13)</f>
        <v>17.640499999999999</v>
      </c>
      <c r="K856" s="64">
        <f>17.6429 * CHOOSE(CONTROL!$C$22, $C$13, 100%, $E$13)</f>
        <v>17.642900000000001</v>
      </c>
    </row>
    <row r="857" spans="1:11" ht="15">
      <c r="A857" s="13">
        <v>67724</v>
      </c>
      <c r="B857" s="63">
        <f>14.8597 * CHOOSE(CONTROL!$C$22, $C$13, 100%, $E$13)</f>
        <v>14.8597</v>
      </c>
      <c r="C857" s="63">
        <f>14.8597 * CHOOSE(CONTROL!$C$22, $C$13, 100%, $E$13)</f>
        <v>14.8597</v>
      </c>
      <c r="D857" s="63">
        <f>14.8996 * CHOOSE(CONTROL!$C$22, $C$13, 100%, $E$13)</f>
        <v>14.8996</v>
      </c>
      <c r="E857" s="64">
        <f>17.584 * CHOOSE(CONTROL!$C$22, $C$13, 100%, $E$13)</f>
        <v>17.584</v>
      </c>
      <c r="F857" s="64">
        <f>17.584 * CHOOSE(CONTROL!$C$22, $C$13, 100%, $E$13)</f>
        <v>17.584</v>
      </c>
      <c r="G857" s="64">
        <f>17.5865 * CHOOSE(CONTROL!$C$22, $C$13, 100%, $E$13)</f>
        <v>17.586500000000001</v>
      </c>
      <c r="H857" s="64">
        <f>28.63* CHOOSE(CONTROL!$C$22, $C$13, 100%, $E$13)</f>
        <v>28.63</v>
      </c>
      <c r="I857" s="64">
        <f>28.6324 * CHOOSE(CONTROL!$C$22, $C$13, 100%, $E$13)</f>
        <v>28.632400000000001</v>
      </c>
      <c r="J857" s="64">
        <f>17.584 * CHOOSE(CONTROL!$C$22, $C$13, 100%, $E$13)</f>
        <v>17.584</v>
      </c>
      <c r="K857" s="64">
        <f>17.5865 * CHOOSE(CONTROL!$C$22, $C$13, 100%, $E$13)</f>
        <v>17.586500000000001</v>
      </c>
    </row>
    <row r="858" spans="1:11" ht="15">
      <c r="A858" s="13">
        <v>67754</v>
      </c>
      <c r="B858" s="63">
        <f>15.0924 * CHOOSE(CONTROL!$C$22, $C$13, 100%, $E$13)</f>
        <v>15.0924</v>
      </c>
      <c r="C858" s="63">
        <f>15.0924 * CHOOSE(CONTROL!$C$22, $C$13, 100%, $E$13)</f>
        <v>15.0924</v>
      </c>
      <c r="D858" s="63">
        <f>15.1324 * CHOOSE(CONTROL!$C$22, $C$13, 100%, $E$13)</f>
        <v>15.132400000000001</v>
      </c>
      <c r="E858" s="64">
        <f>17.9185 * CHOOSE(CONTROL!$C$22, $C$13, 100%, $E$13)</f>
        <v>17.918500000000002</v>
      </c>
      <c r="F858" s="64">
        <f>17.9185 * CHOOSE(CONTROL!$C$22, $C$13, 100%, $E$13)</f>
        <v>17.918500000000002</v>
      </c>
      <c r="G858" s="64">
        <f>17.9209 * CHOOSE(CONTROL!$C$22, $C$13, 100%, $E$13)</f>
        <v>17.9209</v>
      </c>
      <c r="H858" s="64">
        <f>28.6896* CHOOSE(CONTROL!$C$22, $C$13, 100%, $E$13)</f>
        <v>28.689599999999999</v>
      </c>
      <c r="I858" s="64">
        <f>28.6921 * CHOOSE(CONTROL!$C$22, $C$13, 100%, $E$13)</f>
        <v>28.6921</v>
      </c>
      <c r="J858" s="64">
        <f>17.9185 * CHOOSE(CONTROL!$C$22, $C$13, 100%, $E$13)</f>
        <v>17.918500000000002</v>
      </c>
      <c r="K858" s="64">
        <f>17.9209 * CHOOSE(CONTROL!$C$22, $C$13, 100%, $E$13)</f>
        <v>17.9209</v>
      </c>
    </row>
    <row r="859" spans="1:11" ht="15">
      <c r="A859" s="13">
        <v>67785</v>
      </c>
      <c r="B859" s="63">
        <f>15.0991 * CHOOSE(CONTROL!$C$22, $C$13, 100%, $E$13)</f>
        <v>15.0991</v>
      </c>
      <c r="C859" s="63">
        <f>15.0991 * CHOOSE(CONTROL!$C$22, $C$13, 100%, $E$13)</f>
        <v>15.0991</v>
      </c>
      <c r="D859" s="63">
        <f>15.1391 * CHOOSE(CONTROL!$C$22, $C$13, 100%, $E$13)</f>
        <v>15.139099999999999</v>
      </c>
      <c r="E859" s="64">
        <f>17.7411 * CHOOSE(CONTROL!$C$22, $C$13, 100%, $E$13)</f>
        <v>17.741099999999999</v>
      </c>
      <c r="F859" s="64">
        <f>17.7411 * CHOOSE(CONTROL!$C$22, $C$13, 100%, $E$13)</f>
        <v>17.741099999999999</v>
      </c>
      <c r="G859" s="64">
        <f>17.7435 * CHOOSE(CONTROL!$C$22, $C$13, 100%, $E$13)</f>
        <v>17.743500000000001</v>
      </c>
      <c r="H859" s="64">
        <f>28.7494* CHOOSE(CONTROL!$C$22, $C$13, 100%, $E$13)</f>
        <v>28.749400000000001</v>
      </c>
      <c r="I859" s="64">
        <f>28.7518 * CHOOSE(CONTROL!$C$22, $C$13, 100%, $E$13)</f>
        <v>28.751799999999999</v>
      </c>
      <c r="J859" s="64">
        <f>17.7411 * CHOOSE(CONTROL!$C$22, $C$13, 100%, $E$13)</f>
        <v>17.741099999999999</v>
      </c>
      <c r="K859" s="64">
        <f>17.7435 * CHOOSE(CONTROL!$C$22, $C$13, 100%, $E$13)</f>
        <v>17.743500000000001</v>
      </c>
    </row>
    <row r="860" spans="1:11" ht="15">
      <c r="A860" s="13">
        <v>67816</v>
      </c>
      <c r="B860" s="63">
        <f>15.0961 * CHOOSE(CONTROL!$C$22, $C$13, 100%, $E$13)</f>
        <v>15.0961</v>
      </c>
      <c r="C860" s="63">
        <f>15.0961 * CHOOSE(CONTROL!$C$22, $C$13, 100%, $E$13)</f>
        <v>15.0961</v>
      </c>
      <c r="D860" s="63">
        <f>15.136 * CHOOSE(CONTROL!$C$22, $C$13, 100%, $E$13)</f>
        <v>15.135999999999999</v>
      </c>
      <c r="E860" s="64">
        <f>17.7187 * CHOOSE(CONTROL!$C$22, $C$13, 100%, $E$13)</f>
        <v>17.718699999999998</v>
      </c>
      <c r="F860" s="64">
        <f>17.7187 * CHOOSE(CONTROL!$C$22, $C$13, 100%, $E$13)</f>
        <v>17.718699999999998</v>
      </c>
      <c r="G860" s="64">
        <f>17.7211 * CHOOSE(CONTROL!$C$22, $C$13, 100%, $E$13)</f>
        <v>17.7211</v>
      </c>
      <c r="H860" s="64">
        <f>28.8093* CHOOSE(CONTROL!$C$22, $C$13, 100%, $E$13)</f>
        <v>28.8093</v>
      </c>
      <c r="I860" s="64">
        <f>28.8117 * CHOOSE(CONTROL!$C$22, $C$13, 100%, $E$13)</f>
        <v>28.811699999999998</v>
      </c>
      <c r="J860" s="64">
        <f>17.7187 * CHOOSE(CONTROL!$C$22, $C$13, 100%, $E$13)</f>
        <v>17.718699999999998</v>
      </c>
      <c r="K860" s="64">
        <f>17.7211 * CHOOSE(CONTROL!$C$22, $C$13, 100%, $E$13)</f>
        <v>17.7211</v>
      </c>
    </row>
    <row r="861" spans="1:11" ht="15">
      <c r="A861" s="13">
        <v>67846</v>
      </c>
      <c r="B861" s="63">
        <f>15.1275 * CHOOSE(CONTROL!$C$22, $C$13, 100%, $E$13)</f>
        <v>15.1275</v>
      </c>
      <c r="C861" s="63">
        <f>15.1275 * CHOOSE(CONTROL!$C$22, $C$13, 100%, $E$13)</f>
        <v>15.1275</v>
      </c>
      <c r="D861" s="63">
        <f>15.1475 * CHOOSE(CONTROL!$C$22, $C$13, 100%, $E$13)</f>
        <v>15.147500000000001</v>
      </c>
      <c r="E861" s="64">
        <f>17.7862 * CHOOSE(CONTROL!$C$22, $C$13, 100%, $E$13)</f>
        <v>17.786200000000001</v>
      </c>
      <c r="F861" s="64">
        <f>17.7862 * CHOOSE(CONTROL!$C$22, $C$13, 100%, $E$13)</f>
        <v>17.786200000000001</v>
      </c>
      <c r="G861" s="64">
        <f>17.7864 * CHOOSE(CONTROL!$C$22, $C$13, 100%, $E$13)</f>
        <v>17.7864</v>
      </c>
      <c r="H861" s="64">
        <f>28.8693* CHOOSE(CONTROL!$C$22, $C$13, 100%, $E$13)</f>
        <v>28.869299999999999</v>
      </c>
      <c r="I861" s="64">
        <f>28.8695 * CHOOSE(CONTROL!$C$22, $C$13, 100%, $E$13)</f>
        <v>28.869499999999999</v>
      </c>
      <c r="J861" s="64">
        <f>17.7862 * CHOOSE(CONTROL!$C$22, $C$13, 100%, $E$13)</f>
        <v>17.786200000000001</v>
      </c>
      <c r="K861" s="64">
        <f>17.7864 * CHOOSE(CONTROL!$C$22, $C$13, 100%, $E$13)</f>
        <v>17.7864</v>
      </c>
    </row>
    <row r="862" spans="1:11" ht="15">
      <c r="A862" s="13">
        <v>67877</v>
      </c>
      <c r="B862" s="63">
        <f>15.1306 * CHOOSE(CONTROL!$C$22, $C$13, 100%, $E$13)</f>
        <v>15.130599999999999</v>
      </c>
      <c r="C862" s="63">
        <f>15.1306 * CHOOSE(CONTROL!$C$22, $C$13, 100%, $E$13)</f>
        <v>15.130599999999999</v>
      </c>
      <c r="D862" s="63">
        <f>15.1505 * CHOOSE(CONTROL!$C$22, $C$13, 100%, $E$13)</f>
        <v>15.150499999999999</v>
      </c>
      <c r="E862" s="64">
        <f>17.8288 * CHOOSE(CONTROL!$C$22, $C$13, 100%, $E$13)</f>
        <v>17.828800000000001</v>
      </c>
      <c r="F862" s="64">
        <f>17.8288 * CHOOSE(CONTROL!$C$22, $C$13, 100%, $E$13)</f>
        <v>17.828800000000001</v>
      </c>
      <c r="G862" s="64">
        <f>17.829 * CHOOSE(CONTROL!$C$22, $C$13, 100%, $E$13)</f>
        <v>17.829000000000001</v>
      </c>
      <c r="H862" s="64">
        <f>28.9294* CHOOSE(CONTROL!$C$22, $C$13, 100%, $E$13)</f>
        <v>28.929400000000001</v>
      </c>
      <c r="I862" s="64">
        <f>28.9296 * CHOOSE(CONTROL!$C$22, $C$13, 100%, $E$13)</f>
        <v>28.929600000000001</v>
      </c>
      <c r="J862" s="64">
        <f>17.8288 * CHOOSE(CONTROL!$C$22, $C$13, 100%, $E$13)</f>
        <v>17.828800000000001</v>
      </c>
      <c r="K862" s="64">
        <f>17.829 * CHOOSE(CONTROL!$C$22, $C$13, 100%, $E$13)</f>
        <v>17.829000000000001</v>
      </c>
    </row>
    <row r="863" spans="1:11" ht="15">
      <c r="A863" s="13">
        <v>67907</v>
      </c>
      <c r="B863" s="63">
        <f>15.1306 * CHOOSE(CONTROL!$C$22, $C$13, 100%, $E$13)</f>
        <v>15.130599999999999</v>
      </c>
      <c r="C863" s="63">
        <f>15.1306 * CHOOSE(CONTROL!$C$22, $C$13, 100%, $E$13)</f>
        <v>15.130599999999999</v>
      </c>
      <c r="D863" s="63">
        <f>15.1505 * CHOOSE(CONTROL!$C$22, $C$13, 100%, $E$13)</f>
        <v>15.150499999999999</v>
      </c>
      <c r="E863" s="64">
        <f>17.7276 * CHOOSE(CONTROL!$C$22, $C$13, 100%, $E$13)</f>
        <v>17.727599999999999</v>
      </c>
      <c r="F863" s="64">
        <f>17.7276 * CHOOSE(CONTROL!$C$22, $C$13, 100%, $E$13)</f>
        <v>17.727599999999999</v>
      </c>
      <c r="G863" s="64">
        <f>17.7278 * CHOOSE(CONTROL!$C$22, $C$13, 100%, $E$13)</f>
        <v>17.727799999999998</v>
      </c>
      <c r="H863" s="64">
        <f>28.9897* CHOOSE(CONTROL!$C$22, $C$13, 100%, $E$13)</f>
        <v>28.989699999999999</v>
      </c>
      <c r="I863" s="64">
        <f>28.9899 * CHOOSE(CONTROL!$C$22, $C$13, 100%, $E$13)</f>
        <v>28.989899999999999</v>
      </c>
      <c r="J863" s="64">
        <f>17.7276 * CHOOSE(CONTROL!$C$22, $C$13, 100%, $E$13)</f>
        <v>17.727599999999999</v>
      </c>
      <c r="K863" s="64">
        <f>17.7278 * CHOOSE(CONTROL!$C$22, $C$13, 100%, $E$13)</f>
        <v>17.727799999999998</v>
      </c>
    </row>
    <row r="864" spans="1:11" ht="15">
      <c r="A864" s="13">
        <v>67938</v>
      </c>
      <c r="B864" s="63">
        <f>15.0981 * CHOOSE(CONTROL!$C$22, $C$13, 100%, $E$13)</f>
        <v>15.098100000000001</v>
      </c>
      <c r="C864" s="63">
        <f>15.0981 * CHOOSE(CONTROL!$C$22, $C$13, 100%, $E$13)</f>
        <v>15.098100000000001</v>
      </c>
      <c r="D864" s="63">
        <f>15.1181 * CHOOSE(CONTROL!$C$22, $C$13, 100%, $E$13)</f>
        <v>15.1181</v>
      </c>
      <c r="E864" s="64">
        <f>17.7593 * CHOOSE(CONTROL!$C$22, $C$13, 100%, $E$13)</f>
        <v>17.7593</v>
      </c>
      <c r="F864" s="64">
        <f>17.7593 * CHOOSE(CONTROL!$C$22, $C$13, 100%, $E$13)</f>
        <v>17.7593</v>
      </c>
      <c r="G864" s="64">
        <f>17.7595 * CHOOSE(CONTROL!$C$22, $C$13, 100%, $E$13)</f>
        <v>17.759499999999999</v>
      </c>
      <c r="H864" s="64">
        <f>28.7795* CHOOSE(CONTROL!$C$22, $C$13, 100%, $E$13)</f>
        <v>28.779499999999999</v>
      </c>
      <c r="I864" s="64">
        <f>28.7797 * CHOOSE(CONTROL!$C$22, $C$13, 100%, $E$13)</f>
        <v>28.779699999999998</v>
      </c>
      <c r="J864" s="64">
        <f>17.7593 * CHOOSE(CONTROL!$C$22, $C$13, 100%, $E$13)</f>
        <v>17.7593</v>
      </c>
      <c r="K864" s="64">
        <f>17.7595 * CHOOSE(CONTROL!$C$22, $C$13, 100%, $E$13)</f>
        <v>17.759499999999999</v>
      </c>
    </row>
    <row r="865" spans="1:11" ht="15">
      <c r="A865" s="13">
        <v>67969</v>
      </c>
      <c r="B865" s="63">
        <f>15.0951 * CHOOSE(CONTROL!$C$22, $C$13, 100%, $E$13)</f>
        <v>15.0951</v>
      </c>
      <c r="C865" s="63">
        <f>15.0951 * CHOOSE(CONTROL!$C$22, $C$13, 100%, $E$13)</f>
        <v>15.0951</v>
      </c>
      <c r="D865" s="63">
        <f>15.115 * CHOOSE(CONTROL!$C$22, $C$13, 100%, $E$13)</f>
        <v>15.115</v>
      </c>
      <c r="E865" s="64">
        <f>17.5628 * CHOOSE(CONTROL!$C$22, $C$13, 100%, $E$13)</f>
        <v>17.562799999999999</v>
      </c>
      <c r="F865" s="64">
        <f>17.5628 * CHOOSE(CONTROL!$C$22, $C$13, 100%, $E$13)</f>
        <v>17.562799999999999</v>
      </c>
      <c r="G865" s="64">
        <f>17.563 * CHOOSE(CONTROL!$C$22, $C$13, 100%, $E$13)</f>
        <v>17.562999999999999</v>
      </c>
      <c r="H865" s="64">
        <f>28.8394* CHOOSE(CONTROL!$C$22, $C$13, 100%, $E$13)</f>
        <v>28.839400000000001</v>
      </c>
      <c r="I865" s="64">
        <f>28.8396 * CHOOSE(CONTROL!$C$22, $C$13, 100%, $E$13)</f>
        <v>28.839600000000001</v>
      </c>
      <c r="J865" s="64">
        <f>17.5628 * CHOOSE(CONTROL!$C$22, $C$13, 100%, $E$13)</f>
        <v>17.562799999999999</v>
      </c>
      <c r="K865" s="64">
        <f>17.563 * CHOOSE(CONTROL!$C$22, $C$13, 100%, $E$13)</f>
        <v>17.562999999999999</v>
      </c>
    </row>
    <row r="866" spans="1:11" ht="15">
      <c r="A866" s="13">
        <v>67997</v>
      </c>
      <c r="B866" s="63">
        <f>15.092 * CHOOSE(CONTROL!$C$22, $C$13, 100%, $E$13)</f>
        <v>15.092000000000001</v>
      </c>
      <c r="C866" s="63">
        <f>15.092 * CHOOSE(CONTROL!$C$22, $C$13, 100%, $E$13)</f>
        <v>15.092000000000001</v>
      </c>
      <c r="D866" s="63">
        <f>15.112 * CHOOSE(CONTROL!$C$22, $C$13, 100%, $E$13)</f>
        <v>15.112</v>
      </c>
      <c r="E866" s="64">
        <f>17.7139 * CHOOSE(CONTROL!$C$22, $C$13, 100%, $E$13)</f>
        <v>17.713899999999999</v>
      </c>
      <c r="F866" s="64">
        <f>17.7139 * CHOOSE(CONTROL!$C$22, $C$13, 100%, $E$13)</f>
        <v>17.713899999999999</v>
      </c>
      <c r="G866" s="64">
        <f>17.7141 * CHOOSE(CONTROL!$C$22, $C$13, 100%, $E$13)</f>
        <v>17.714099999999998</v>
      </c>
      <c r="H866" s="64">
        <f>28.8995* CHOOSE(CONTROL!$C$22, $C$13, 100%, $E$13)</f>
        <v>28.8995</v>
      </c>
      <c r="I866" s="64">
        <f>28.8997 * CHOOSE(CONTROL!$C$22, $C$13, 100%, $E$13)</f>
        <v>28.899699999999999</v>
      </c>
      <c r="J866" s="64">
        <f>17.7139 * CHOOSE(CONTROL!$C$22, $C$13, 100%, $E$13)</f>
        <v>17.713899999999999</v>
      </c>
      <c r="K866" s="64">
        <f>17.7141 * CHOOSE(CONTROL!$C$22, $C$13, 100%, $E$13)</f>
        <v>17.714099999999998</v>
      </c>
    </row>
    <row r="867" spans="1:11" ht="15">
      <c r="A867" s="13">
        <v>68028</v>
      </c>
      <c r="B867" s="63">
        <f>15.0991 * CHOOSE(CONTROL!$C$22, $C$13, 100%, $E$13)</f>
        <v>15.0991</v>
      </c>
      <c r="C867" s="63">
        <f>15.0991 * CHOOSE(CONTROL!$C$22, $C$13, 100%, $E$13)</f>
        <v>15.0991</v>
      </c>
      <c r="D867" s="63">
        <f>15.1191 * CHOOSE(CONTROL!$C$22, $C$13, 100%, $E$13)</f>
        <v>15.1191</v>
      </c>
      <c r="E867" s="64">
        <f>17.8742 * CHOOSE(CONTROL!$C$22, $C$13, 100%, $E$13)</f>
        <v>17.874199999999998</v>
      </c>
      <c r="F867" s="64">
        <f>17.8742 * CHOOSE(CONTROL!$C$22, $C$13, 100%, $E$13)</f>
        <v>17.874199999999998</v>
      </c>
      <c r="G867" s="64">
        <f>17.8744 * CHOOSE(CONTROL!$C$22, $C$13, 100%, $E$13)</f>
        <v>17.874400000000001</v>
      </c>
      <c r="H867" s="64">
        <f>28.9597* CHOOSE(CONTROL!$C$22, $C$13, 100%, $E$13)</f>
        <v>28.959700000000002</v>
      </c>
      <c r="I867" s="64">
        <f>28.9599 * CHOOSE(CONTROL!$C$22, $C$13, 100%, $E$13)</f>
        <v>28.959900000000001</v>
      </c>
      <c r="J867" s="64">
        <f>17.8742 * CHOOSE(CONTROL!$C$22, $C$13, 100%, $E$13)</f>
        <v>17.874199999999998</v>
      </c>
      <c r="K867" s="64">
        <f>17.8744 * CHOOSE(CONTROL!$C$22, $C$13, 100%, $E$13)</f>
        <v>17.874400000000001</v>
      </c>
    </row>
    <row r="868" spans="1:11" ht="15">
      <c r="A868" s="13">
        <v>68058</v>
      </c>
      <c r="B868" s="63">
        <f>15.0991 * CHOOSE(CONTROL!$C$22, $C$13, 100%, $E$13)</f>
        <v>15.0991</v>
      </c>
      <c r="C868" s="63">
        <f>15.0991 * CHOOSE(CONTROL!$C$22, $C$13, 100%, $E$13)</f>
        <v>15.0991</v>
      </c>
      <c r="D868" s="63">
        <f>15.1391 * CHOOSE(CONTROL!$C$22, $C$13, 100%, $E$13)</f>
        <v>15.139099999999999</v>
      </c>
      <c r="E868" s="64">
        <f>17.936 * CHOOSE(CONTROL!$C$22, $C$13, 100%, $E$13)</f>
        <v>17.936</v>
      </c>
      <c r="F868" s="64">
        <f>17.936 * CHOOSE(CONTROL!$C$22, $C$13, 100%, $E$13)</f>
        <v>17.936</v>
      </c>
      <c r="G868" s="64">
        <f>17.9384 * CHOOSE(CONTROL!$C$22, $C$13, 100%, $E$13)</f>
        <v>17.938400000000001</v>
      </c>
      <c r="H868" s="64">
        <f>29.0201* CHOOSE(CONTROL!$C$22, $C$13, 100%, $E$13)</f>
        <v>29.020099999999999</v>
      </c>
      <c r="I868" s="64">
        <f>29.0225 * CHOOSE(CONTROL!$C$22, $C$13, 100%, $E$13)</f>
        <v>29.022500000000001</v>
      </c>
      <c r="J868" s="64">
        <f>17.936 * CHOOSE(CONTROL!$C$22, $C$13, 100%, $E$13)</f>
        <v>17.936</v>
      </c>
      <c r="K868" s="64">
        <f>17.9384 * CHOOSE(CONTROL!$C$22, $C$13, 100%, $E$13)</f>
        <v>17.938400000000001</v>
      </c>
    </row>
    <row r="869" spans="1:11" ht="15">
      <c r="A869" s="13">
        <v>68089</v>
      </c>
      <c r="B869" s="63">
        <f>15.1052 * CHOOSE(CONTROL!$C$22, $C$13, 100%, $E$13)</f>
        <v>15.1052</v>
      </c>
      <c r="C869" s="63">
        <f>15.1052 * CHOOSE(CONTROL!$C$22, $C$13, 100%, $E$13)</f>
        <v>15.1052</v>
      </c>
      <c r="D869" s="63">
        <f>15.1451 * CHOOSE(CONTROL!$C$22, $C$13, 100%, $E$13)</f>
        <v>15.145099999999999</v>
      </c>
      <c r="E869" s="64">
        <f>17.8785 * CHOOSE(CONTROL!$C$22, $C$13, 100%, $E$13)</f>
        <v>17.878499999999999</v>
      </c>
      <c r="F869" s="64">
        <f>17.8785 * CHOOSE(CONTROL!$C$22, $C$13, 100%, $E$13)</f>
        <v>17.878499999999999</v>
      </c>
      <c r="G869" s="64">
        <f>17.8809 * CHOOSE(CONTROL!$C$22, $C$13, 100%, $E$13)</f>
        <v>17.8809</v>
      </c>
      <c r="H869" s="64">
        <f>29.0805* CHOOSE(CONTROL!$C$22, $C$13, 100%, $E$13)</f>
        <v>29.080500000000001</v>
      </c>
      <c r="I869" s="64">
        <f>29.083 * CHOOSE(CONTROL!$C$22, $C$13, 100%, $E$13)</f>
        <v>29.082999999999998</v>
      </c>
      <c r="J869" s="64">
        <f>17.8785 * CHOOSE(CONTROL!$C$22, $C$13, 100%, $E$13)</f>
        <v>17.878499999999999</v>
      </c>
      <c r="K869" s="64">
        <f>17.8809 * CHOOSE(CONTROL!$C$22, $C$13, 100%, $E$13)</f>
        <v>17.8809</v>
      </c>
    </row>
    <row r="870" spans="1:11" ht="15">
      <c r="A870" s="13">
        <v>68119</v>
      </c>
      <c r="B870" s="63">
        <f>15.3417 * CHOOSE(CONTROL!$C$22, $C$13, 100%, $E$13)</f>
        <v>15.341699999999999</v>
      </c>
      <c r="C870" s="63">
        <f>15.3417 * CHOOSE(CONTROL!$C$22, $C$13, 100%, $E$13)</f>
        <v>15.341699999999999</v>
      </c>
      <c r="D870" s="63">
        <f>15.3816 * CHOOSE(CONTROL!$C$22, $C$13, 100%, $E$13)</f>
        <v>15.381600000000001</v>
      </c>
      <c r="E870" s="64">
        <f>18.2184 * CHOOSE(CONTROL!$C$22, $C$13, 100%, $E$13)</f>
        <v>18.218399999999999</v>
      </c>
      <c r="F870" s="64">
        <f>18.2184 * CHOOSE(CONTROL!$C$22, $C$13, 100%, $E$13)</f>
        <v>18.218399999999999</v>
      </c>
      <c r="G870" s="64">
        <f>18.2208 * CHOOSE(CONTROL!$C$22, $C$13, 100%, $E$13)</f>
        <v>18.220800000000001</v>
      </c>
      <c r="H870" s="64">
        <f>29.1411* CHOOSE(CONTROL!$C$22, $C$13, 100%, $E$13)</f>
        <v>29.141100000000002</v>
      </c>
      <c r="I870" s="64">
        <f>29.1435 * CHOOSE(CONTROL!$C$22, $C$13, 100%, $E$13)</f>
        <v>29.1435</v>
      </c>
      <c r="J870" s="64">
        <f>18.2184 * CHOOSE(CONTROL!$C$22, $C$13, 100%, $E$13)</f>
        <v>18.218399999999999</v>
      </c>
      <c r="K870" s="64">
        <f>18.2208 * CHOOSE(CONTROL!$C$22, $C$13, 100%, $E$13)</f>
        <v>18.220800000000001</v>
      </c>
    </row>
    <row r="871" spans="1:11" ht="15">
      <c r="A871" s="13">
        <v>68150</v>
      </c>
      <c r="B871" s="63">
        <f>15.3483 * CHOOSE(CONTROL!$C$22, $C$13, 100%, $E$13)</f>
        <v>15.3483</v>
      </c>
      <c r="C871" s="63">
        <f>15.3483 * CHOOSE(CONTROL!$C$22, $C$13, 100%, $E$13)</f>
        <v>15.3483</v>
      </c>
      <c r="D871" s="63">
        <f>15.3883 * CHOOSE(CONTROL!$C$22, $C$13, 100%, $E$13)</f>
        <v>15.388299999999999</v>
      </c>
      <c r="E871" s="64">
        <f>18.0379 * CHOOSE(CONTROL!$C$22, $C$13, 100%, $E$13)</f>
        <v>18.0379</v>
      </c>
      <c r="F871" s="64">
        <f>18.0379 * CHOOSE(CONTROL!$C$22, $C$13, 100%, $E$13)</f>
        <v>18.0379</v>
      </c>
      <c r="G871" s="64">
        <f>18.0403 * CHOOSE(CONTROL!$C$22, $C$13, 100%, $E$13)</f>
        <v>18.040299999999998</v>
      </c>
      <c r="H871" s="64">
        <f>29.2018* CHOOSE(CONTROL!$C$22, $C$13, 100%, $E$13)</f>
        <v>29.201799999999999</v>
      </c>
      <c r="I871" s="64">
        <f>29.2043 * CHOOSE(CONTROL!$C$22, $C$13, 100%, $E$13)</f>
        <v>29.2043</v>
      </c>
      <c r="J871" s="64">
        <f>18.0379 * CHOOSE(CONTROL!$C$22, $C$13, 100%, $E$13)</f>
        <v>18.0379</v>
      </c>
      <c r="K871" s="64">
        <f>18.0403 * CHOOSE(CONTROL!$C$22, $C$13, 100%, $E$13)</f>
        <v>18.040299999999998</v>
      </c>
    </row>
    <row r="872" spans="1:11" ht="15">
      <c r="A872" s="13">
        <v>68181</v>
      </c>
      <c r="B872" s="63">
        <f>15.3453 * CHOOSE(CONTROL!$C$22, $C$13, 100%, $E$13)</f>
        <v>15.3453</v>
      </c>
      <c r="C872" s="63">
        <f>15.3453 * CHOOSE(CONTROL!$C$22, $C$13, 100%, $E$13)</f>
        <v>15.3453</v>
      </c>
      <c r="D872" s="63">
        <f>15.3852 * CHOOSE(CONTROL!$C$22, $C$13, 100%, $E$13)</f>
        <v>15.385199999999999</v>
      </c>
      <c r="E872" s="64">
        <f>18.0152 * CHOOSE(CONTROL!$C$22, $C$13, 100%, $E$13)</f>
        <v>18.0152</v>
      </c>
      <c r="F872" s="64">
        <f>18.0152 * CHOOSE(CONTROL!$C$22, $C$13, 100%, $E$13)</f>
        <v>18.0152</v>
      </c>
      <c r="G872" s="64">
        <f>18.0176 * CHOOSE(CONTROL!$C$22, $C$13, 100%, $E$13)</f>
        <v>18.017600000000002</v>
      </c>
      <c r="H872" s="64">
        <f>29.2626* CHOOSE(CONTROL!$C$22, $C$13, 100%, $E$13)</f>
        <v>29.262599999999999</v>
      </c>
      <c r="I872" s="64">
        <f>29.2651 * CHOOSE(CONTROL!$C$22, $C$13, 100%, $E$13)</f>
        <v>29.2651</v>
      </c>
      <c r="J872" s="64">
        <f>18.0152 * CHOOSE(CONTROL!$C$22, $C$13, 100%, $E$13)</f>
        <v>18.0152</v>
      </c>
      <c r="K872" s="64">
        <f>18.0176 * CHOOSE(CONTROL!$C$22, $C$13, 100%, $E$13)</f>
        <v>18.017600000000002</v>
      </c>
    </row>
    <row r="873" spans="1:11" ht="15">
      <c r="A873" s="13">
        <v>68211</v>
      </c>
      <c r="B873" s="63">
        <f>15.3775 * CHOOSE(CONTROL!$C$22, $C$13, 100%, $E$13)</f>
        <v>15.3775</v>
      </c>
      <c r="C873" s="63">
        <f>15.3775 * CHOOSE(CONTROL!$C$22, $C$13, 100%, $E$13)</f>
        <v>15.3775</v>
      </c>
      <c r="D873" s="63">
        <f>15.3975 * CHOOSE(CONTROL!$C$22, $C$13, 100%, $E$13)</f>
        <v>15.397500000000001</v>
      </c>
      <c r="E873" s="64">
        <f>18.0841 * CHOOSE(CONTROL!$C$22, $C$13, 100%, $E$13)</f>
        <v>18.084099999999999</v>
      </c>
      <c r="F873" s="64">
        <f>18.0841 * CHOOSE(CONTROL!$C$22, $C$13, 100%, $E$13)</f>
        <v>18.084099999999999</v>
      </c>
      <c r="G873" s="64">
        <f>18.0842 * CHOOSE(CONTROL!$C$22, $C$13, 100%, $E$13)</f>
        <v>18.084199999999999</v>
      </c>
      <c r="H873" s="64">
        <f>29.3236* CHOOSE(CONTROL!$C$22, $C$13, 100%, $E$13)</f>
        <v>29.323599999999999</v>
      </c>
      <c r="I873" s="64">
        <f>29.3238 * CHOOSE(CONTROL!$C$22, $C$13, 100%, $E$13)</f>
        <v>29.323799999999999</v>
      </c>
      <c r="J873" s="64">
        <f>18.0841 * CHOOSE(CONTROL!$C$22, $C$13, 100%, $E$13)</f>
        <v>18.084099999999999</v>
      </c>
      <c r="K873" s="64">
        <f>18.0842 * CHOOSE(CONTROL!$C$22, $C$13, 100%, $E$13)</f>
        <v>18.084199999999999</v>
      </c>
    </row>
    <row r="874" spans="1:11" ht="15">
      <c r="A874" s="13">
        <v>68242</v>
      </c>
      <c r="B874" s="63">
        <f>15.3806 * CHOOSE(CONTROL!$C$22, $C$13, 100%, $E$13)</f>
        <v>15.380599999999999</v>
      </c>
      <c r="C874" s="63">
        <f>15.3806 * CHOOSE(CONTROL!$C$22, $C$13, 100%, $E$13)</f>
        <v>15.380599999999999</v>
      </c>
      <c r="D874" s="63">
        <f>15.4006 * CHOOSE(CONTROL!$C$22, $C$13, 100%, $E$13)</f>
        <v>15.400600000000001</v>
      </c>
      <c r="E874" s="64">
        <f>18.1273 * CHOOSE(CONTROL!$C$22, $C$13, 100%, $E$13)</f>
        <v>18.127300000000002</v>
      </c>
      <c r="F874" s="64">
        <f>18.1273 * CHOOSE(CONTROL!$C$22, $C$13, 100%, $E$13)</f>
        <v>18.127300000000002</v>
      </c>
      <c r="G874" s="64">
        <f>18.1275 * CHOOSE(CONTROL!$C$22, $C$13, 100%, $E$13)</f>
        <v>18.127500000000001</v>
      </c>
      <c r="H874" s="64">
        <f>29.3847* CHOOSE(CONTROL!$C$22, $C$13, 100%, $E$13)</f>
        <v>29.384699999999999</v>
      </c>
      <c r="I874" s="64">
        <f>29.3849 * CHOOSE(CONTROL!$C$22, $C$13, 100%, $E$13)</f>
        <v>29.384899999999998</v>
      </c>
      <c r="J874" s="64">
        <f>18.1273 * CHOOSE(CONTROL!$C$22, $C$13, 100%, $E$13)</f>
        <v>18.127300000000002</v>
      </c>
      <c r="K874" s="64">
        <f>18.1275 * CHOOSE(CONTROL!$C$22, $C$13, 100%, $E$13)</f>
        <v>18.127500000000001</v>
      </c>
    </row>
    <row r="875" spans="1:11" ht="15">
      <c r="A875" s="13">
        <v>68272</v>
      </c>
      <c r="B875" s="63">
        <f>15.3806 * CHOOSE(CONTROL!$C$22, $C$13, 100%, $E$13)</f>
        <v>15.380599999999999</v>
      </c>
      <c r="C875" s="63">
        <f>15.3806 * CHOOSE(CONTROL!$C$22, $C$13, 100%, $E$13)</f>
        <v>15.380599999999999</v>
      </c>
      <c r="D875" s="63">
        <f>15.4006 * CHOOSE(CONTROL!$C$22, $C$13, 100%, $E$13)</f>
        <v>15.400600000000001</v>
      </c>
      <c r="E875" s="64">
        <f>18.0245 * CHOOSE(CONTROL!$C$22, $C$13, 100%, $E$13)</f>
        <v>18.0245</v>
      </c>
      <c r="F875" s="64">
        <f>18.0245 * CHOOSE(CONTROL!$C$22, $C$13, 100%, $E$13)</f>
        <v>18.0245</v>
      </c>
      <c r="G875" s="64">
        <f>18.0246 * CHOOSE(CONTROL!$C$22, $C$13, 100%, $E$13)</f>
        <v>18.0246</v>
      </c>
      <c r="H875" s="64">
        <f>29.4459* CHOOSE(CONTROL!$C$22, $C$13, 100%, $E$13)</f>
        <v>29.445900000000002</v>
      </c>
      <c r="I875" s="64">
        <f>29.4461 * CHOOSE(CONTROL!$C$22, $C$13, 100%, $E$13)</f>
        <v>29.446100000000001</v>
      </c>
      <c r="J875" s="64">
        <f>18.0245 * CHOOSE(CONTROL!$C$22, $C$13, 100%, $E$13)</f>
        <v>18.0245</v>
      </c>
      <c r="K875" s="64">
        <f>18.0246 * CHOOSE(CONTROL!$C$22, $C$13, 100%, $E$13)</f>
        <v>18.0246</v>
      </c>
    </row>
    <row r="876" spans="1:11" ht="15">
      <c r="A876" s="13">
        <v>68303</v>
      </c>
      <c r="B876" s="63">
        <f>15.3434 * CHOOSE(CONTROL!$C$22, $C$13, 100%, $E$13)</f>
        <v>15.343400000000001</v>
      </c>
      <c r="C876" s="63">
        <f>15.3434 * CHOOSE(CONTROL!$C$22, $C$13, 100%, $E$13)</f>
        <v>15.343400000000001</v>
      </c>
      <c r="D876" s="63">
        <f>15.3634 * CHOOSE(CONTROL!$C$22, $C$13, 100%, $E$13)</f>
        <v>15.3634</v>
      </c>
      <c r="E876" s="64">
        <f>18.0517 * CHOOSE(CONTROL!$C$22, $C$13, 100%, $E$13)</f>
        <v>18.0517</v>
      </c>
      <c r="F876" s="64">
        <f>18.0517 * CHOOSE(CONTROL!$C$22, $C$13, 100%, $E$13)</f>
        <v>18.0517</v>
      </c>
      <c r="G876" s="64">
        <f>18.0519 * CHOOSE(CONTROL!$C$22, $C$13, 100%, $E$13)</f>
        <v>18.0519</v>
      </c>
      <c r="H876" s="64">
        <f>29.2254* CHOOSE(CONTROL!$C$22, $C$13, 100%, $E$13)</f>
        <v>29.2254</v>
      </c>
      <c r="I876" s="64">
        <f>29.2255 * CHOOSE(CONTROL!$C$22, $C$13, 100%, $E$13)</f>
        <v>29.2255</v>
      </c>
      <c r="J876" s="64">
        <f>18.0517 * CHOOSE(CONTROL!$C$22, $C$13, 100%, $E$13)</f>
        <v>18.0517</v>
      </c>
      <c r="K876" s="64">
        <f>18.0519 * CHOOSE(CONTROL!$C$22, $C$13, 100%, $E$13)</f>
        <v>18.0519</v>
      </c>
    </row>
    <row r="877" spans="1:11" ht="15">
      <c r="A877" s="13">
        <v>68334</v>
      </c>
      <c r="B877" s="63">
        <f>15.3404 * CHOOSE(CONTROL!$C$22, $C$13, 100%, $E$13)</f>
        <v>15.340400000000001</v>
      </c>
      <c r="C877" s="63">
        <f>15.3404 * CHOOSE(CONTROL!$C$22, $C$13, 100%, $E$13)</f>
        <v>15.340400000000001</v>
      </c>
      <c r="D877" s="63">
        <f>15.3603 * CHOOSE(CONTROL!$C$22, $C$13, 100%, $E$13)</f>
        <v>15.360300000000001</v>
      </c>
      <c r="E877" s="64">
        <f>17.852 * CHOOSE(CONTROL!$C$22, $C$13, 100%, $E$13)</f>
        <v>17.852</v>
      </c>
      <c r="F877" s="64">
        <f>17.852 * CHOOSE(CONTROL!$C$22, $C$13, 100%, $E$13)</f>
        <v>17.852</v>
      </c>
      <c r="G877" s="64">
        <f>17.8522 * CHOOSE(CONTROL!$C$22, $C$13, 100%, $E$13)</f>
        <v>17.8522</v>
      </c>
      <c r="H877" s="64">
        <f>29.2863* CHOOSE(CONTROL!$C$22, $C$13, 100%, $E$13)</f>
        <v>29.286300000000001</v>
      </c>
      <c r="I877" s="64">
        <f>29.2864 * CHOOSE(CONTROL!$C$22, $C$13, 100%, $E$13)</f>
        <v>29.2864</v>
      </c>
      <c r="J877" s="64">
        <f>17.852 * CHOOSE(CONTROL!$C$22, $C$13, 100%, $E$13)</f>
        <v>17.852</v>
      </c>
      <c r="K877" s="64">
        <f>17.8522 * CHOOSE(CONTROL!$C$22, $C$13, 100%, $E$13)</f>
        <v>17.8522</v>
      </c>
    </row>
    <row r="878" spans="1:11" ht="15">
      <c r="A878" s="13">
        <v>68362</v>
      </c>
      <c r="B878" s="63">
        <f>15.3373 * CHOOSE(CONTROL!$C$22, $C$13, 100%, $E$13)</f>
        <v>15.337300000000001</v>
      </c>
      <c r="C878" s="63">
        <f>15.3373 * CHOOSE(CONTROL!$C$22, $C$13, 100%, $E$13)</f>
        <v>15.337300000000001</v>
      </c>
      <c r="D878" s="63">
        <f>15.3573 * CHOOSE(CONTROL!$C$22, $C$13, 100%, $E$13)</f>
        <v>15.3573</v>
      </c>
      <c r="E878" s="64">
        <f>18.0057 * CHOOSE(CONTROL!$C$22, $C$13, 100%, $E$13)</f>
        <v>18.005700000000001</v>
      </c>
      <c r="F878" s="64">
        <f>18.0057 * CHOOSE(CONTROL!$C$22, $C$13, 100%, $E$13)</f>
        <v>18.005700000000001</v>
      </c>
      <c r="G878" s="64">
        <f>18.0058 * CHOOSE(CONTROL!$C$22, $C$13, 100%, $E$13)</f>
        <v>18.005800000000001</v>
      </c>
      <c r="H878" s="64">
        <f>29.3473* CHOOSE(CONTROL!$C$22, $C$13, 100%, $E$13)</f>
        <v>29.347300000000001</v>
      </c>
      <c r="I878" s="64">
        <f>29.3474 * CHOOSE(CONTROL!$C$22, $C$13, 100%, $E$13)</f>
        <v>29.3474</v>
      </c>
      <c r="J878" s="64">
        <f>18.0057 * CHOOSE(CONTROL!$C$22, $C$13, 100%, $E$13)</f>
        <v>18.005700000000001</v>
      </c>
      <c r="K878" s="64">
        <f>18.0058 * CHOOSE(CONTROL!$C$22, $C$13, 100%, $E$13)</f>
        <v>18.005800000000001</v>
      </c>
    </row>
    <row r="879" spans="1:11" ht="15">
      <c r="A879" s="13">
        <v>68393</v>
      </c>
      <c r="B879" s="63">
        <f>15.3446 * CHOOSE(CONTROL!$C$22, $C$13, 100%, $E$13)</f>
        <v>15.3446</v>
      </c>
      <c r="C879" s="63">
        <f>15.3446 * CHOOSE(CONTROL!$C$22, $C$13, 100%, $E$13)</f>
        <v>15.3446</v>
      </c>
      <c r="D879" s="63">
        <f>15.3646 * CHOOSE(CONTROL!$C$22, $C$13, 100%, $E$13)</f>
        <v>15.364599999999999</v>
      </c>
      <c r="E879" s="64">
        <f>18.1687 * CHOOSE(CONTROL!$C$22, $C$13, 100%, $E$13)</f>
        <v>18.168700000000001</v>
      </c>
      <c r="F879" s="64">
        <f>18.1687 * CHOOSE(CONTROL!$C$22, $C$13, 100%, $E$13)</f>
        <v>18.168700000000001</v>
      </c>
      <c r="G879" s="64">
        <f>18.1689 * CHOOSE(CONTROL!$C$22, $C$13, 100%, $E$13)</f>
        <v>18.168900000000001</v>
      </c>
      <c r="H879" s="64">
        <f>29.4084* CHOOSE(CONTROL!$C$22, $C$13, 100%, $E$13)</f>
        <v>29.4084</v>
      </c>
      <c r="I879" s="64">
        <f>29.4086 * CHOOSE(CONTROL!$C$22, $C$13, 100%, $E$13)</f>
        <v>29.4086</v>
      </c>
      <c r="J879" s="64">
        <f>18.1687 * CHOOSE(CONTROL!$C$22, $C$13, 100%, $E$13)</f>
        <v>18.168700000000001</v>
      </c>
      <c r="K879" s="64">
        <f>18.1689 * CHOOSE(CONTROL!$C$22, $C$13, 100%, $E$13)</f>
        <v>18.168900000000001</v>
      </c>
    </row>
    <row r="880" spans="1:11" ht="15">
      <c r="A880" s="13">
        <v>68423</v>
      </c>
      <c r="B880" s="63">
        <f>15.3446 * CHOOSE(CONTROL!$C$22, $C$13, 100%, $E$13)</f>
        <v>15.3446</v>
      </c>
      <c r="C880" s="63">
        <f>15.3446 * CHOOSE(CONTROL!$C$22, $C$13, 100%, $E$13)</f>
        <v>15.3446</v>
      </c>
      <c r="D880" s="63">
        <f>15.3846 * CHOOSE(CONTROL!$C$22, $C$13, 100%, $E$13)</f>
        <v>15.384600000000001</v>
      </c>
      <c r="E880" s="64">
        <f>18.2314 * CHOOSE(CONTROL!$C$22, $C$13, 100%, $E$13)</f>
        <v>18.231400000000001</v>
      </c>
      <c r="F880" s="64">
        <f>18.2314 * CHOOSE(CONTROL!$C$22, $C$13, 100%, $E$13)</f>
        <v>18.231400000000001</v>
      </c>
      <c r="G880" s="64">
        <f>18.2339 * CHOOSE(CONTROL!$C$22, $C$13, 100%, $E$13)</f>
        <v>18.233899999999998</v>
      </c>
      <c r="H880" s="64">
        <f>29.4697* CHOOSE(CONTROL!$C$22, $C$13, 100%, $E$13)</f>
        <v>29.4697</v>
      </c>
      <c r="I880" s="64">
        <f>29.4721 * CHOOSE(CONTROL!$C$22, $C$13, 100%, $E$13)</f>
        <v>29.472100000000001</v>
      </c>
      <c r="J880" s="64">
        <f>18.2314 * CHOOSE(CONTROL!$C$22, $C$13, 100%, $E$13)</f>
        <v>18.231400000000001</v>
      </c>
      <c r="K880" s="64">
        <f>18.2339 * CHOOSE(CONTROL!$C$22, $C$13, 100%, $E$13)</f>
        <v>18.233899999999998</v>
      </c>
    </row>
    <row r="881" spans="1:11" ht="15">
      <c r="A881" s="13">
        <v>68454</v>
      </c>
      <c r="B881" s="63">
        <f>15.3507 * CHOOSE(CONTROL!$C$22, $C$13, 100%, $E$13)</f>
        <v>15.3507</v>
      </c>
      <c r="C881" s="63">
        <f>15.3507 * CHOOSE(CONTROL!$C$22, $C$13, 100%, $E$13)</f>
        <v>15.3507</v>
      </c>
      <c r="D881" s="63">
        <f>15.3907 * CHOOSE(CONTROL!$C$22, $C$13, 100%, $E$13)</f>
        <v>15.390700000000001</v>
      </c>
      <c r="E881" s="64">
        <f>18.1729 * CHOOSE(CONTROL!$C$22, $C$13, 100%, $E$13)</f>
        <v>18.172899999999998</v>
      </c>
      <c r="F881" s="64">
        <f>18.1729 * CHOOSE(CONTROL!$C$22, $C$13, 100%, $E$13)</f>
        <v>18.172899999999998</v>
      </c>
      <c r="G881" s="64">
        <f>18.1754 * CHOOSE(CONTROL!$C$22, $C$13, 100%, $E$13)</f>
        <v>18.1754</v>
      </c>
      <c r="H881" s="64">
        <f>29.5311* CHOOSE(CONTROL!$C$22, $C$13, 100%, $E$13)</f>
        <v>29.531099999999999</v>
      </c>
      <c r="I881" s="64">
        <f>29.5335 * CHOOSE(CONTROL!$C$22, $C$13, 100%, $E$13)</f>
        <v>29.5335</v>
      </c>
      <c r="J881" s="64">
        <f>18.1729 * CHOOSE(CONTROL!$C$22, $C$13, 100%, $E$13)</f>
        <v>18.172899999999998</v>
      </c>
      <c r="K881" s="64">
        <f>18.1754 * CHOOSE(CONTROL!$C$22, $C$13, 100%, $E$13)</f>
        <v>18.1754</v>
      </c>
    </row>
    <row r="882" spans="1:11" ht="15">
      <c r="A882" s="13">
        <v>68484</v>
      </c>
      <c r="B882" s="63">
        <f>15.5909 * CHOOSE(CONTROL!$C$22, $C$13, 100%, $E$13)</f>
        <v>15.5909</v>
      </c>
      <c r="C882" s="63">
        <f>15.5909 * CHOOSE(CONTROL!$C$22, $C$13, 100%, $E$13)</f>
        <v>15.5909</v>
      </c>
      <c r="D882" s="63">
        <f>15.6308 * CHOOSE(CONTROL!$C$22, $C$13, 100%, $E$13)</f>
        <v>15.630800000000001</v>
      </c>
      <c r="E882" s="64">
        <f>18.5182 * CHOOSE(CONTROL!$C$22, $C$13, 100%, $E$13)</f>
        <v>18.5182</v>
      </c>
      <c r="F882" s="64">
        <f>18.5182 * CHOOSE(CONTROL!$C$22, $C$13, 100%, $E$13)</f>
        <v>18.5182</v>
      </c>
      <c r="G882" s="64">
        <f>18.5207 * CHOOSE(CONTROL!$C$22, $C$13, 100%, $E$13)</f>
        <v>18.520700000000001</v>
      </c>
      <c r="H882" s="64">
        <f>29.5926* CHOOSE(CONTROL!$C$22, $C$13, 100%, $E$13)</f>
        <v>29.592600000000001</v>
      </c>
      <c r="I882" s="64">
        <f>29.595 * CHOOSE(CONTROL!$C$22, $C$13, 100%, $E$13)</f>
        <v>29.594999999999999</v>
      </c>
      <c r="J882" s="64">
        <f>18.5182 * CHOOSE(CONTROL!$C$22, $C$13, 100%, $E$13)</f>
        <v>18.5182</v>
      </c>
      <c r="K882" s="64">
        <f>18.5207 * CHOOSE(CONTROL!$C$22, $C$13, 100%, $E$13)</f>
        <v>18.520700000000001</v>
      </c>
    </row>
    <row r="883" spans="1:11" ht="15">
      <c r="A883" s="13">
        <v>68515</v>
      </c>
      <c r="B883" s="63">
        <f>15.5976 * CHOOSE(CONTROL!$C$22, $C$13, 100%, $E$13)</f>
        <v>15.5976</v>
      </c>
      <c r="C883" s="63">
        <f>15.5976 * CHOOSE(CONTROL!$C$22, $C$13, 100%, $E$13)</f>
        <v>15.5976</v>
      </c>
      <c r="D883" s="63">
        <f>15.6375 * CHOOSE(CONTROL!$C$22, $C$13, 100%, $E$13)</f>
        <v>15.637499999999999</v>
      </c>
      <c r="E883" s="64">
        <f>18.3347 * CHOOSE(CONTROL!$C$22, $C$13, 100%, $E$13)</f>
        <v>18.334700000000002</v>
      </c>
      <c r="F883" s="64">
        <f>18.3347 * CHOOSE(CONTROL!$C$22, $C$13, 100%, $E$13)</f>
        <v>18.334700000000002</v>
      </c>
      <c r="G883" s="64">
        <f>18.3372 * CHOOSE(CONTROL!$C$22, $C$13, 100%, $E$13)</f>
        <v>18.337199999999999</v>
      </c>
      <c r="H883" s="64">
        <f>29.6542* CHOOSE(CONTROL!$C$22, $C$13, 100%, $E$13)</f>
        <v>29.654199999999999</v>
      </c>
      <c r="I883" s="64">
        <f>29.6567 * CHOOSE(CONTROL!$C$22, $C$13, 100%, $E$13)</f>
        <v>29.656700000000001</v>
      </c>
      <c r="J883" s="64">
        <f>18.3347 * CHOOSE(CONTROL!$C$22, $C$13, 100%, $E$13)</f>
        <v>18.334700000000002</v>
      </c>
      <c r="K883" s="64">
        <f>18.3372 * CHOOSE(CONTROL!$C$22, $C$13, 100%, $E$13)</f>
        <v>18.337199999999999</v>
      </c>
    </row>
    <row r="884" spans="1:11" ht="15">
      <c r="A884" s="13">
        <v>68546</v>
      </c>
      <c r="B884" s="63">
        <f>15.5945 * CHOOSE(CONTROL!$C$22, $C$13, 100%, $E$13)</f>
        <v>15.5945</v>
      </c>
      <c r="C884" s="63">
        <f>15.5945 * CHOOSE(CONTROL!$C$22, $C$13, 100%, $E$13)</f>
        <v>15.5945</v>
      </c>
      <c r="D884" s="63">
        <f>15.6345 * CHOOSE(CONTROL!$C$22, $C$13, 100%, $E$13)</f>
        <v>15.634499999999999</v>
      </c>
      <c r="E884" s="64">
        <f>18.3117 * CHOOSE(CONTROL!$C$22, $C$13, 100%, $E$13)</f>
        <v>18.311699999999998</v>
      </c>
      <c r="F884" s="64">
        <f>18.3117 * CHOOSE(CONTROL!$C$22, $C$13, 100%, $E$13)</f>
        <v>18.311699999999998</v>
      </c>
      <c r="G884" s="64">
        <f>18.3141 * CHOOSE(CONTROL!$C$22, $C$13, 100%, $E$13)</f>
        <v>18.3141</v>
      </c>
      <c r="H884" s="64">
        <f>29.716* CHOOSE(CONTROL!$C$22, $C$13, 100%, $E$13)</f>
        <v>29.716000000000001</v>
      </c>
      <c r="I884" s="64">
        <f>29.7185 * CHOOSE(CONTROL!$C$22, $C$13, 100%, $E$13)</f>
        <v>29.718499999999999</v>
      </c>
      <c r="J884" s="64">
        <f>18.3117 * CHOOSE(CONTROL!$C$22, $C$13, 100%, $E$13)</f>
        <v>18.311699999999998</v>
      </c>
      <c r="K884" s="64">
        <f>18.3141 * CHOOSE(CONTROL!$C$22, $C$13, 100%, $E$13)</f>
        <v>18.3141</v>
      </c>
    </row>
    <row r="885" spans="1:11" ht="15">
      <c r="A885" s="13">
        <v>68576</v>
      </c>
      <c r="B885" s="63">
        <f>15.6276 * CHOOSE(CONTROL!$C$22, $C$13, 100%, $E$13)</f>
        <v>15.627599999999999</v>
      </c>
      <c r="C885" s="63">
        <f>15.6276 * CHOOSE(CONTROL!$C$22, $C$13, 100%, $E$13)</f>
        <v>15.627599999999999</v>
      </c>
      <c r="D885" s="63">
        <f>15.6475 * CHOOSE(CONTROL!$C$22, $C$13, 100%, $E$13)</f>
        <v>15.647500000000001</v>
      </c>
      <c r="E885" s="64">
        <f>18.3819 * CHOOSE(CONTROL!$C$22, $C$13, 100%, $E$13)</f>
        <v>18.381900000000002</v>
      </c>
      <c r="F885" s="64">
        <f>18.3819 * CHOOSE(CONTROL!$C$22, $C$13, 100%, $E$13)</f>
        <v>18.381900000000002</v>
      </c>
      <c r="G885" s="64">
        <f>18.3821 * CHOOSE(CONTROL!$C$22, $C$13, 100%, $E$13)</f>
        <v>18.382100000000001</v>
      </c>
      <c r="H885" s="64">
        <f>29.7779* CHOOSE(CONTROL!$C$22, $C$13, 100%, $E$13)</f>
        <v>29.777899999999999</v>
      </c>
      <c r="I885" s="64">
        <f>29.7781 * CHOOSE(CONTROL!$C$22, $C$13, 100%, $E$13)</f>
        <v>29.778099999999998</v>
      </c>
      <c r="J885" s="64">
        <f>18.3819 * CHOOSE(CONTROL!$C$22, $C$13, 100%, $E$13)</f>
        <v>18.381900000000002</v>
      </c>
      <c r="K885" s="64">
        <f>18.3821 * CHOOSE(CONTROL!$C$22, $C$13, 100%, $E$13)</f>
        <v>18.382100000000001</v>
      </c>
    </row>
    <row r="886" spans="1:11" ht="15">
      <c r="A886" s="13">
        <v>68607</v>
      </c>
      <c r="B886" s="63">
        <f>15.6306 * CHOOSE(CONTROL!$C$22, $C$13, 100%, $E$13)</f>
        <v>15.630599999999999</v>
      </c>
      <c r="C886" s="63">
        <f>15.6306 * CHOOSE(CONTROL!$C$22, $C$13, 100%, $E$13)</f>
        <v>15.630599999999999</v>
      </c>
      <c r="D886" s="63">
        <f>15.6506 * CHOOSE(CONTROL!$C$22, $C$13, 100%, $E$13)</f>
        <v>15.650600000000001</v>
      </c>
      <c r="E886" s="64">
        <f>18.4258 * CHOOSE(CONTROL!$C$22, $C$13, 100%, $E$13)</f>
        <v>18.425799999999999</v>
      </c>
      <c r="F886" s="64">
        <f>18.4258 * CHOOSE(CONTROL!$C$22, $C$13, 100%, $E$13)</f>
        <v>18.425799999999999</v>
      </c>
      <c r="G886" s="64">
        <f>18.426 * CHOOSE(CONTROL!$C$22, $C$13, 100%, $E$13)</f>
        <v>18.425999999999998</v>
      </c>
      <c r="H886" s="64">
        <f>29.84* CHOOSE(CONTROL!$C$22, $C$13, 100%, $E$13)</f>
        <v>29.84</v>
      </c>
      <c r="I886" s="64">
        <f>29.8401 * CHOOSE(CONTROL!$C$22, $C$13, 100%, $E$13)</f>
        <v>29.8401</v>
      </c>
      <c r="J886" s="64">
        <f>18.4258 * CHOOSE(CONTROL!$C$22, $C$13, 100%, $E$13)</f>
        <v>18.425799999999999</v>
      </c>
      <c r="K886" s="64">
        <f>18.426 * CHOOSE(CONTROL!$C$22, $C$13, 100%, $E$13)</f>
        <v>18.425999999999998</v>
      </c>
    </row>
    <row r="887" spans="1:11" ht="15">
      <c r="A887" s="13">
        <v>68637</v>
      </c>
      <c r="B887" s="63">
        <f>15.6306 * CHOOSE(CONTROL!$C$22, $C$13, 100%, $E$13)</f>
        <v>15.630599999999999</v>
      </c>
      <c r="C887" s="63">
        <f>15.6306 * CHOOSE(CONTROL!$C$22, $C$13, 100%, $E$13)</f>
        <v>15.630599999999999</v>
      </c>
      <c r="D887" s="63">
        <f>15.6506 * CHOOSE(CONTROL!$C$22, $C$13, 100%, $E$13)</f>
        <v>15.650600000000001</v>
      </c>
      <c r="E887" s="64">
        <f>18.3213 * CHOOSE(CONTROL!$C$22, $C$13, 100%, $E$13)</f>
        <v>18.321300000000001</v>
      </c>
      <c r="F887" s="64">
        <f>18.3213 * CHOOSE(CONTROL!$C$22, $C$13, 100%, $E$13)</f>
        <v>18.321300000000001</v>
      </c>
      <c r="G887" s="64">
        <f>18.3215 * CHOOSE(CONTROL!$C$22, $C$13, 100%, $E$13)</f>
        <v>18.3215</v>
      </c>
      <c r="H887" s="64">
        <f>29.9021* CHOOSE(CONTROL!$C$22, $C$13, 100%, $E$13)</f>
        <v>29.902100000000001</v>
      </c>
      <c r="I887" s="64">
        <f>29.9023 * CHOOSE(CONTROL!$C$22, $C$13, 100%, $E$13)</f>
        <v>29.9023</v>
      </c>
      <c r="J887" s="64">
        <f>18.3213 * CHOOSE(CONTROL!$C$22, $C$13, 100%, $E$13)</f>
        <v>18.321300000000001</v>
      </c>
      <c r="K887" s="64">
        <f>18.3215 * CHOOSE(CONTROL!$C$22, $C$13, 100%, $E$13)</f>
        <v>18.3215</v>
      </c>
    </row>
    <row r="888" spans="1:11" ht="15">
      <c r="A888" s="13">
        <v>68668</v>
      </c>
      <c r="B888" s="63">
        <f>15.5887 * CHOOSE(CONTROL!$C$22, $C$13, 100%, $E$13)</f>
        <v>15.588699999999999</v>
      </c>
      <c r="C888" s="63">
        <f>15.5887 * CHOOSE(CONTROL!$C$22, $C$13, 100%, $E$13)</f>
        <v>15.588699999999999</v>
      </c>
      <c r="D888" s="63">
        <f>15.6087 * CHOOSE(CONTROL!$C$22, $C$13, 100%, $E$13)</f>
        <v>15.608700000000001</v>
      </c>
      <c r="E888" s="64">
        <f>18.3441 * CHOOSE(CONTROL!$C$22, $C$13, 100%, $E$13)</f>
        <v>18.344100000000001</v>
      </c>
      <c r="F888" s="64">
        <f>18.3441 * CHOOSE(CONTROL!$C$22, $C$13, 100%, $E$13)</f>
        <v>18.344100000000001</v>
      </c>
      <c r="G888" s="64">
        <f>18.3443 * CHOOSE(CONTROL!$C$22, $C$13, 100%, $E$13)</f>
        <v>18.3443</v>
      </c>
      <c r="H888" s="64">
        <f>29.6713* CHOOSE(CONTROL!$C$22, $C$13, 100%, $E$13)</f>
        <v>29.671299999999999</v>
      </c>
      <c r="I888" s="64">
        <f>29.6714 * CHOOSE(CONTROL!$C$22, $C$13, 100%, $E$13)</f>
        <v>29.671399999999998</v>
      </c>
      <c r="J888" s="64">
        <f>18.3441 * CHOOSE(CONTROL!$C$22, $C$13, 100%, $E$13)</f>
        <v>18.344100000000001</v>
      </c>
      <c r="K888" s="64">
        <f>18.3443 * CHOOSE(CONTROL!$C$22, $C$13, 100%, $E$13)</f>
        <v>18.3443</v>
      </c>
    </row>
    <row r="889" spans="1:11" ht="15">
      <c r="A889" s="13">
        <v>68699</v>
      </c>
      <c r="B889" s="63">
        <f>15.5857 * CHOOSE(CONTROL!$C$22, $C$13, 100%, $E$13)</f>
        <v>15.585699999999999</v>
      </c>
      <c r="C889" s="63">
        <f>15.5857 * CHOOSE(CONTROL!$C$22, $C$13, 100%, $E$13)</f>
        <v>15.585699999999999</v>
      </c>
      <c r="D889" s="63">
        <f>15.6057 * CHOOSE(CONTROL!$C$22, $C$13, 100%, $E$13)</f>
        <v>15.605700000000001</v>
      </c>
      <c r="E889" s="64">
        <f>18.1412 * CHOOSE(CONTROL!$C$22, $C$13, 100%, $E$13)</f>
        <v>18.141200000000001</v>
      </c>
      <c r="F889" s="64">
        <f>18.1412 * CHOOSE(CONTROL!$C$22, $C$13, 100%, $E$13)</f>
        <v>18.141200000000001</v>
      </c>
      <c r="G889" s="64">
        <f>18.1414 * CHOOSE(CONTROL!$C$22, $C$13, 100%, $E$13)</f>
        <v>18.141400000000001</v>
      </c>
      <c r="H889" s="64">
        <f>29.7331* CHOOSE(CONTROL!$C$22, $C$13, 100%, $E$13)</f>
        <v>29.7331</v>
      </c>
      <c r="I889" s="64">
        <f>29.7333 * CHOOSE(CONTROL!$C$22, $C$13, 100%, $E$13)</f>
        <v>29.7333</v>
      </c>
      <c r="J889" s="64">
        <f>18.1412 * CHOOSE(CONTROL!$C$22, $C$13, 100%, $E$13)</f>
        <v>18.141200000000001</v>
      </c>
      <c r="K889" s="64">
        <f>18.1414 * CHOOSE(CONTROL!$C$22, $C$13, 100%, $E$13)</f>
        <v>18.141400000000001</v>
      </c>
    </row>
    <row r="890" spans="1:11" ht="15">
      <c r="A890" s="13">
        <v>68728</v>
      </c>
      <c r="B890" s="63">
        <f>15.5826 * CHOOSE(CONTROL!$C$22, $C$13, 100%, $E$13)</f>
        <v>15.582599999999999</v>
      </c>
      <c r="C890" s="63">
        <f>15.5826 * CHOOSE(CONTROL!$C$22, $C$13, 100%, $E$13)</f>
        <v>15.582599999999999</v>
      </c>
      <c r="D890" s="63">
        <f>15.6026 * CHOOSE(CONTROL!$C$22, $C$13, 100%, $E$13)</f>
        <v>15.602600000000001</v>
      </c>
      <c r="E890" s="64">
        <f>18.2974 * CHOOSE(CONTROL!$C$22, $C$13, 100%, $E$13)</f>
        <v>18.2974</v>
      </c>
      <c r="F890" s="64">
        <f>18.2974 * CHOOSE(CONTROL!$C$22, $C$13, 100%, $E$13)</f>
        <v>18.2974</v>
      </c>
      <c r="G890" s="64">
        <f>18.2976 * CHOOSE(CONTROL!$C$22, $C$13, 100%, $E$13)</f>
        <v>18.297599999999999</v>
      </c>
      <c r="H890" s="64">
        <f>29.795* CHOOSE(CONTROL!$C$22, $C$13, 100%, $E$13)</f>
        <v>29.795000000000002</v>
      </c>
      <c r="I890" s="64">
        <f>29.7952 * CHOOSE(CONTROL!$C$22, $C$13, 100%, $E$13)</f>
        <v>29.795200000000001</v>
      </c>
      <c r="J890" s="64">
        <f>18.2974 * CHOOSE(CONTROL!$C$22, $C$13, 100%, $E$13)</f>
        <v>18.2974</v>
      </c>
      <c r="K890" s="64">
        <f>18.2976 * CHOOSE(CONTROL!$C$22, $C$13, 100%, $E$13)</f>
        <v>18.297599999999999</v>
      </c>
    </row>
    <row r="891" spans="1:11" ht="15">
      <c r="A891" s="13">
        <v>68759</v>
      </c>
      <c r="B891" s="63">
        <f>15.5902 * CHOOSE(CONTROL!$C$22, $C$13, 100%, $E$13)</f>
        <v>15.590199999999999</v>
      </c>
      <c r="C891" s="63">
        <f>15.5902 * CHOOSE(CONTROL!$C$22, $C$13, 100%, $E$13)</f>
        <v>15.590199999999999</v>
      </c>
      <c r="D891" s="63">
        <f>15.6101 * CHOOSE(CONTROL!$C$22, $C$13, 100%, $E$13)</f>
        <v>15.610099999999999</v>
      </c>
      <c r="E891" s="64">
        <f>18.4631 * CHOOSE(CONTROL!$C$22, $C$13, 100%, $E$13)</f>
        <v>18.463100000000001</v>
      </c>
      <c r="F891" s="64">
        <f>18.4631 * CHOOSE(CONTROL!$C$22, $C$13, 100%, $E$13)</f>
        <v>18.463100000000001</v>
      </c>
      <c r="G891" s="64">
        <f>18.4633 * CHOOSE(CONTROL!$C$22, $C$13, 100%, $E$13)</f>
        <v>18.4633</v>
      </c>
      <c r="H891" s="64">
        <f>29.8571* CHOOSE(CONTROL!$C$22, $C$13, 100%, $E$13)</f>
        <v>29.857099999999999</v>
      </c>
      <c r="I891" s="64">
        <f>29.8573 * CHOOSE(CONTROL!$C$22, $C$13, 100%, $E$13)</f>
        <v>29.857299999999999</v>
      </c>
      <c r="J891" s="64">
        <f>18.4631 * CHOOSE(CONTROL!$C$22, $C$13, 100%, $E$13)</f>
        <v>18.463100000000001</v>
      </c>
      <c r="K891" s="64">
        <f>18.4633 * CHOOSE(CONTROL!$C$22, $C$13, 100%, $E$13)</f>
        <v>18.4633</v>
      </c>
    </row>
    <row r="892" spans="1:11" ht="15">
      <c r="A892" s="13">
        <v>68789</v>
      </c>
      <c r="B892" s="63">
        <f>15.5902 * CHOOSE(CONTROL!$C$22, $C$13, 100%, $E$13)</f>
        <v>15.590199999999999</v>
      </c>
      <c r="C892" s="63">
        <f>15.5902 * CHOOSE(CONTROL!$C$22, $C$13, 100%, $E$13)</f>
        <v>15.590199999999999</v>
      </c>
      <c r="D892" s="63">
        <f>15.6301 * CHOOSE(CONTROL!$C$22, $C$13, 100%, $E$13)</f>
        <v>15.630100000000001</v>
      </c>
      <c r="E892" s="64">
        <f>18.5269 * CHOOSE(CONTROL!$C$22, $C$13, 100%, $E$13)</f>
        <v>18.526900000000001</v>
      </c>
      <c r="F892" s="64">
        <f>18.5269 * CHOOSE(CONTROL!$C$22, $C$13, 100%, $E$13)</f>
        <v>18.526900000000001</v>
      </c>
      <c r="G892" s="64">
        <f>18.5293 * CHOOSE(CONTROL!$C$22, $C$13, 100%, $E$13)</f>
        <v>18.529299999999999</v>
      </c>
      <c r="H892" s="64">
        <f>29.9193* CHOOSE(CONTROL!$C$22, $C$13, 100%, $E$13)</f>
        <v>29.9193</v>
      </c>
      <c r="I892" s="64">
        <f>29.9217 * CHOOSE(CONTROL!$C$22, $C$13, 100%, $E$13)</f>
        <v>29.921700000000001</v>
      </c>
      <c r="J892" s="64">
        <f>18.5269 * CHOOSE(CONTROL!$C$22, $C$13, 100%, $E$13)</f>
        <v>18.526900000000001</v>
      </c>
      <c r="K892" s="64">
        <f>18.5293 * CHOOSE(CONTROL!$C$22, $C$13, 100%, $E$13)</f>
        <v>18.529299999999999</v>
      </c>
    </row>
    <row r="893" spans="1:11" ht="15">
      <c r="A893" s="13">
        <v>68820</v>
      </c>
      <c r="B893" s="63">
        <f>15.5963 * CHOOSE(CONTROL!$C$22, $C$13, 100%, $E$13)</f>
        <v>15.596299999999999</v>
      </c>
      <c r="C893" s="63">
        <f>15.5963 * CHOOSE(CONTROL!$C$22, $C$13, 100%, $E$13)</f>
        <v>15.596299999999999</v>
      </c>
      <c r="D893" s="63">
        <f>15.6362 * CHOOSE(CONTROL!$C$22, $C$13, 100%, $E$13)</f>
        <v>15.636200000000001</v>
      </c>
      <c r="E893" s="64">
        <f>18.4674 * CHOOSE(CONTROL!$C$22, $C$13, 100%, $E$13)</f>
        <v>18.467400000000001</v>
      </c>
      <c r="F893" s="64">
        <f>18.4674 * CHOOSE(CONTROL!$C$22, $C$13, 100%, $E$13)</f>
        <v>18.467400000000001</v>
      </c>
      <c r="G893" s="64">
        <f>18.4698 * CHOOSE(CONTROL!$C$22, $C$13, 100%, $E$13)</f>
        <v>18.469799999999999</v>
      </c>
      <c r="H893" s="64">
        <f>29.9816* CHOOSE(CONTROL!$C$22, $C$13, 100%, $E$13)</f>
        <v>29.9816</v>
      </c>
      <c r="I893" s="64">
        <f>29.9841 * CHOOSE(CONTROL!$C$22, $C$13, 100%, $E$13)</f>
        <v>29.984100000000002</v>
      </c>
      <c r="J893" s="64">
        <f>18.4674 * CHOOSE(CONTROL!$C$22, $C$13, 100%, $E$13)</f>
        <v>18.467400000000001</v>
      </c>
      <c r="K893" s="64">
        <f>18.4698 * CHOOSE(CONTROL!$C$22, $C$13, 100%, $E$13)</f>
        <v>18.469799999999999</v>
      </c>
    </row>
    <row r="894" spans="1:11" ht="15">
      <c r="A894" s="13">
        <v>68850</v>
      </c>
      <c r="B894" s="63">
        <f>15.8401 * CHOOSE(CONTROL!$C$22, $C$13, 100%, $E$13)</f>
        <v>15.8401</v>
      </c>
      <c r="C894" s="63">
        <f>15.8401 * CHOOSE(CONTROL!$C$22, $C$13, 100%, $E$13)</f>
        <v>15.8401</v>
      </c>
      <c r="D894" s="63">
        <f>15.88 * CHOOSE(CONTROL!$C$22, $C$13, 100%, $E$13)</f>
        <v>15.88</v>
      </c>
      <c r="E894" s="64">
        <f>18.8181 * CHOOSE(CONTROL!$C$22, $C$13, 100%, $E$13)</f>
        <v>18.818100000000001</v>
      </c>
      <c r="F894" s="64">
        <f>18.8181 * CHOOSE(CONTROL!$C$22, $C$13, 100%, $E$13)</f>
        <v>18.818100000000001</v>
      </c>
      <c r="G894" s="64">
        <f>18.8206 * CHOOSE(CONTROL!$C$22, $C$13, 100%, $E$13)</f>
        <v>18.820599999999999</v>
      </c>
      <c r="H894" s="64">
        <f>30.0441* CHOOSE(CONTROL!$C$22, $C$13, 100%, $E$13)</f>
        <v>30.0441</v>
      </c>
      <c r="I894" s="64">
        <f>30.0465 * CHOOSE(CONTROL!$C$22, $C$13, 100%, $E$13)</f>
        <v>30.046500000000002</v>
      </c>
      <c r="J894" s="64">
        <f>18.8181 * CHOOSE(CONTROL!$C$22, $C$13, 100%, $E$13)</f>
        <v>18.818100000000001</v>
      </c>
      <c r="K894" s="64">
        <f>18.8206 * CHOOSE(CONTROL!$C$22, $C$13, 100%, $E$13)</f>
        <v>18.820599999999999</v>
      </c>
    </row>
    <row r="895" spans="1:11" ht="15">
      <c r="A895" s="13">
        <v>68881</v>
      </c>
      <c r="B895" s="63">
        <f>15.8468 * CHOOSE(CONTROL!$C$22, $C$13, 100%, $E$13)</f>
        <v>15.8468</v>
      </c>
      <c r="C895" s="63">
        <f>15.8468 * CHOOSE(CONTROL!$C$22, $C$13, 100%, $E$13)</f>
        <v>15.8468</v>
      </c>
      <c r="D895" s="63">
        <f>15.8867 * CHOOSE(CONTROL!$C$22, $C$13, 100%, $E$13)</f>
        <v>15.886699999999999</v>
      </c>
      <c r="E895" s="64">
        <f>18.6315 * CHOOSE(CONTROL!$C$22, $C$13, 100%, $E$13)</f>
        <v>18.631499999999999</v>
      </c>
      <c r="F895" s="64">
        <f>18.6315 * CHOOSE(CONTROL!$C$22, $C$13, 100%, $E$13)</f>
        <v>18.631499999999999</v>
      </c>
      <c r="G895" s="64">
        <f>18.634 * CHOOSE(CONTROL!$C$22, $C$13, 100%, $E$13)</f>
        <v>18.634</v>
      </c>
      <c r="H895" s="64">
        <f>30.1067* CHOOSE(CONTROL!$C$22, $C$13, 100%, $E$13)</f>
        <v>30.1067</v>
      </c>
      <c r="I895" s="64">
        <f>30.1091 * CHOOSE(CONTROL!$C$22, $C$13, 100%, $E$13)</f>
        <v>30.109100000000002</v>
      </c>
      <c r="J895" s="64">
        <f>18.6315 * CHOOSE(CONTROL!$C$22, $C$13, 100%, $E$13)</f>
        <v>18.631499999999999</v>
      </c>
      <c r="K895" s="64">
        <f>18.634 * CHOOSE(CONTROL!$C$22, $C$13, 100%, $E$13)</f>
        <v>18.634</v>
      </c>
    </row>
    <row r="896" spans="1:11" ht="15">
      <c r="A896" s="13">
        <v>68912</v>
      </c>
      <c r="B896" s="63">
        <f>15.8437 * CHOOSE(CONTROL!$C$22, $C$13, 100%, $E$13)</f>
        <v>15.8437</v>
      </c>
      <c r="C896" s="63">
        <f>15.8437 * CHOOSE(CONTROL!$C$22, $C$13, 100%, $E$13)</f>
        <v>15.8437</v>
      </c>
      <c r="D896" s="63">
        <f>15.8837 * CHOOSE(CONTROL!$C$22, $C$13, 100%, $E$13)</f>
        <v>15.883699999999999</v>
      </c>
      <c r="E896" s="64">
        <f>18.6082 * CHOOSE(CONTROL!$C$22, $C$13, 100%, $E$13)</f>
        <v>18.6082</v>
      </c>
      <c r="F896" s="64">
        <f>18.6082 * CHOOSE(CONTROL!$C$22, $C$13, 100%, $E$13)</f>
        <v>18.6082</v>
      </c>
      <c r="G896" s="64">
        <f>18.6106 * CHOOSE(CONTROL!$C$22, $C$13, 100%, $E$13)</f>
        <v>18.610600000000002</v>
      </c>
      <c r="H896" s="64">
        <f>30.1694* CHOOSE(CONTROL!$C$22, $C$13, 100%, $E$13)</f>
        <v>30.1694</v>
      </c>
      <c r="I896" s="64">
        <f>30.1718 * CHOOSE(CONTROL!$C$22, $C$13, 100%, $E$13)</f>
        <v>30.171800000000001</v>
      </c>
      <c r="J896" s="64">
        <f>18.6082 * CHOOSE(CONTROL!$C$22, $C$13, 100%, $E$13)</f>
        <v>18.6082</v>
      </c>
      <c r="K896" s="64">
        <f>18.6106 * CHOOSE(CONTROL!$C$22, $C$13, 100%, $E$13)</f>
        <v>18.610600000000002</v>
      </c>
    </row>
    <row r="897" spans="1:11" ht="15">
      <c r="A897" s="13">
        <v>68942</v>
      </c>
      <c r="B897" s="63">
        <f>15.8776 * CHOOSE(CONTROL!$C$22, $C$13, 100%, $E$13)</f>
        <v>15.877599999999999</v>
      </c>
      <c r="C897" s="63">
        <f>15.8776 * CHOOSE(CONTROL!$C$22, $C$13, 100%, $E$13)</f>
        <v>15.877599999999999</v>
      </c>
      <c r="D897" s="63">
        <f>15.8976 * CHOOSE(CONTROL!$C$22, $C$13, 100%, $E$13)</f>
        <v>15.897600000000001</v>
      </c>
      <c r="E897" s="64">
        <f>18.6798 * CHOOSE(CONTROL!$C$22, $C$13, 100%, $E$13)</f>
        <v>18.6798</v>
      </c>
      <c r="F897" s="64">
        <f>18.6798 * CHOOSE(CONTROL!$C$22, $C$13, 100%, $E$13)</f>
        <v>18.6798</v>
      </c>
      <c r="G897" s="64">
        <f>18.6799 * CHOOSE(CONTROL!$C$22, $C$13, 100%, $E$13)</f>
        <v>18.6799</v>
      </c>
      <c r="H897" s="64">
        <f>30.2323* CHOOSE(CONTROL!$C$22, $C$13, 100%, $E$13)</f>
        <v>30.232299999999999</v>
      </c>
      <c r="I897" s="64">
        <f>30.2324 * CHOOSE(CONTROL!$C$22, $C$13, 100%, $E$13)</f>
        <v>30.232399999999998</v>
      </c>
      <c r="J897" s="64">
        <f>18.6798 * CHOOSE(CONTROL!$C$22, $C$13, 100%, $E$13)</f>
        <v>18.6798</v>
      </c>
      <c r="K897" s="64">
        <f>18.6799 * CHOOSE(CONTROL!$C$22, $C$13, 100%, $E$13)</f>
        <v>18.6799</v>
      </c>
    </row>
    <row r="898" spans="1:11" ht="15">
      <c r="A898" s="13">
        <v>68973</v>
      </c>
      <c r="B898" s="63">
        <f>15.8806 * CHOOSE(CONTROL!$C$22, $C$13, 100%, $E$13)</f>
        <v>15.880599999999999</v>
      </c>
      <c r="C898" s="63">
        <f>15.8806 * CHOOSE(CONTROL!$C$22, $C$13, 100%, $E$13)</f>
        <v>15.880599999999999</v>
      </c>
      <c r="D898" s="63">
        <f>15.9006 * CHOOSE(CONTROL!$C$22, $C$13, 100%, $E$13)</f>
        <v>15.900600000000001</v>
      </c>
      <c r="E898" s="64">
        <f>18.7244 * CHOOSE(CONTROL!$C$22, $C$13, 100%, $E$13)</f>
        <v>18.724399999999999</v>
      </c>
      <c r="F898" s="64">
        <f>18.7244 * CHOOSE(CONTROL!$C$22, $C$13, 100%, $E$13)</f>
        <v>18.724399999999999</v>
      </c>
      <c r="G898" s="64">
        <f>18.7245 * CHOOSE(CONTROL!$C$22, $C$13, 100%, $E$13)</f>
        <v>18.724499999999999</v>
      </c>
      <c r="H898" s="64">
        <f>30.2952* CHOOSE(CONTROL!$C$22, $C$13, 100%, $E$13)</f>
        <v>30.295200000000001</v>
      </c>
      <c r="I898" s="64">
        <f>30.2954 * CHOOSE(CONTROL!$C$22, $C$13, 100%, $E$13)</f>
        <v>30.295400000000001</v>
      </c>
      <c r="J898" s="64">
        <f>18.7244 * CHOOSE(CONTROL!$C$22, $C$13, 100%, $E$13)</f>
        <v>18.724399999999999</v>
      </c>
      <c r="K898" s="64">
        <f>18.7245 * CHOOSE(CONTROL!$C$22, $C$13, 100%, $E$13)</f>
        <v>18.724499999999999</v>
      </c>
    </row>
    <row r="899" spans="1:11" ht="15">
      <c r="A899" s="13">
        <v>69003</v>
      </c>
      <c r="B899" s="63">
        <f>15.8806 * CHOOSE(CONTROL!$C$22, $C$13, 100%, $E$13)</f>
        <v>15.880599999999999</v>
      </c>
      <c r="C899" s="63">
        <f>15.8806 * CHOOSE(CONTROL!$C$22, $C$13, 100%, $E$13)</f>
        <v>15.880599999999999</v>
      </c>
      <c r="D899" s="63">
        <f>15.9006 * CHOOSE(CONTROL!$C$22, $C$13, 100%, $E$13)</f>
        <v>15.900600000000001</v>
      </c>
      <c r="E899" s="64">
        <f>18.6181 * CHOOSE(CONTROL!$C$22, $C$13, 100%, $E$13)</f>
        <v>18.618099999999998</v>
      </c>
      <c r="F899" s="64">
        <f>18.6181 * CHOOSE(CONTROL!$C$22, $C$13, 100%, $E$13)</f>
        <v>18.618099999999998</v>
      </c>
      <c r="G899" s="64">
        <f>18.6183 * CHOOSE(CONTROL!$C$22, $C$13, 100%, $E$13)</f>
        <v>18.618300000000001</v>
      </c>
      <c r="H899" s="64">
        <f>30.3584* CHOOSE(CONTROL!$C$22, $C$13, 100%, $E$13)</f>
        <v>30.3584</v>
      </c>
      <c r="I899" s="64">
        <f>30.3585 * CHOOSE(CONTROL!$C$22, $C$13, 100%, $E$13)</f>
        <v>30.358499999999999</v>
      </c>
      <c r="J899" s="64">
        <f>18.6181 * CHOOSE(CONTROL!$C$22, $C$13, 100%, $E$13)</f>
        <v>18.618099999999998</v>
      </c>
      <c r="K899" s="64">
        <f>18.6183 * CHOOSE(CONTROL!$C$22, $C$13, 100%, $E$13)</f>
        <v>18.618300000000001</v>
      </c>
    </row>
    <row r="900" spans="1:11" ht="15">
      <c r="A900" s="13">
        <v>69034</v>
      </c>
      <c r="B900" s="63">
        <f>15.834 * CHOOSE(CONTROL!$C$22, $C$13, 100%, $E$13)</f>
        <v>15.834</v>
      </c>
      <c r="C900" s="63">
        <f>15.834 * CHOOSE(CONTROL!$C$22, $C$13, 100%, $E$13)</f>
        <v>15.834</v>
      </c>
      <c r="D900" s="63">
        <f>15.854 * CHOOSE(CONTROL!$C$22, $C$13, 100%, $E$13)</f>
        <v>15.853999999999999</v>
      </c>
      <c r="E900" s="64">
        <f>18.6365 * CHOOSE(CONTROL!$C$22, $C$13, 100%, $E$13)</f>
        <v>18.636500000000002</v>
      </c>
      <c r="F900" s="64">
        <f>18.6365 * CHOOSE(CONTROL!$C$22, $C$13, 100%, $E$13)</f>
        <v>18.636500000000002</v>
      </c>
      <c r="G900" s="64">
        <f>18.6367 * CHOOSE(CONTROL!$C$22, $C$13, 100%, $E$13)</f>
        <v>18.636700000000001</v>
      </c>
      <c r="H900" s="64">
        <f>30.1172* CHOOSE(CONTROL!$C$22, $C$13, 100%, $E$13)</f>
        <v>30.1172</v>
      </c>
      <c r="I900" s="64">
        <f>30.1173 * CHOOSE(CONTROL!$C$22, $C$13, 100%, $E$13)</f>
        <v>30.1173</v>
      </c>
      <c r="J900" s="64">
        <f>18.6365 * CHOOSE(CONTROL!$C$22, $C$13, 100%, $E$13)</f>
        <v>18.636500000000002</v>
      </c>
      <c r="K900" s="64">
        <f>18.6367 * CHOOSE(CONTROL!$C$22, $C$13, 100%, $E$13)</f>
        <v>18.636700000000001</v>
      </c>
    </row>
    <row r="901" spans="1:11" ht="15">
      <c r="A901" s="13">
        <v>69065</v>
      </c>
      <c r="B901" s="63">
        <f>15.831 * CHOOSE(CONTROL!$C$22, $C$13, 100%, $E$13)</f>
        <v>15.831</v>
      </c>
      <c r="C901" s="63">
        <f>15.831 * CHOOSE(CONTROL!$C$22, $C$13, 100%, $E$13)</f>
        <v>15.831</v>
      </c>
      <c r="D901" s="63">
        <f>15.851 * CHOOSE(CONTROL!$C$22, $C$13, 100%, $E$13)</f>
        <v>15.851000000000001</v>
      </c>
      <c r="E901" s="64">
        <f>18.4304 * CHOOSE(CONTROL!$C$22, $C$13, 100%, $E$13)</f>
        <v>18.430399999999999</v>
      </c>
      <c r="F901" s="64">
        <f>18.4304 * CHOOSE(CONTROL!$C$22, $C$13, 100%, $E$13)</f>
        <v>18.430399999999999</v>
      </c>
      <c r="G901" s="64">
        <f>18.4306 * CHOOSE(CONTROL!$C$22, $C$13, 100%, $E$13)</f>
        <v>18.430599999999998</v>
      </c>
      <c r="H901" s="64">
        <f>30.1799* CHOOSE(CONTROL!$C$22, $C$13, 100%, $E$13)</f>
        <v>30.1799</v>
      </c>
      <c r="I901" s="64">
        <f>30.1801 * CHOOSE(CONTROL!$C$22, $C$13, 100%, $E$13)</f>
        <v>30.180099999999999</v>
      </c>
      <c r="J901" s="64">
        <f>18.4304 * CHOOSE(CONTROL!$C$22, $C$13, 100%, $E$13)</f>
        <v>18.430399999999999</v>
      </c>
      <c r="K901" s="64">
        <f>18.4306 * CHOOSE(CONTROL!$C$22, $C$13, 100%, $E$13)</f>
        <v>18.430599999999998</v>
      </c>
    </row>
    <row r="902" spans="1:11" ht="15">
      <c r="A902" s="13">
        <v>69093</v>
      </c>
      <c r="B902" s="63">
        <f>15.828 * CHOOSE(CONTROL!$C$22, $C$13, 100%, $E$13)</f>
        <v>15.827999999999999</v>
      </c>
      <c r="C902" s="63">
        <f>15.828 * CHOOSE(CONTROL!$C$22, $C$13, 100%, $E$13)</f>
        <v>15.827999999999999</v>
      </c>
      <c r="D902" s="63">
        <f>15.8479 * CHOOSE(CONTROL!$C$22, $C$13, 100%, $E$13)</f>
        <v>15.847899999999999</v>
      </c>
      <c r="E902" s="64">
        <f>18.5891 * CHOOSE(CONTROL!$C$22, $C$13, 100%, $E$13)</f>
        <v>18.589099999999998</v>
      </c>
      <c r="F902" s="64">
        <f>18.5891 * CHOOSE(CONTROL!$C$22, $C$13, 100%, $E$13)</f>
        <v>18.589099999999998</v>
      </c>
      <c r="G902" s="64">
        <f>18.5893 * CHOOSE(CONTROL!$C$22, $C$13, 100%, $E$13)</f>
        <v>18.589300000000001</v>
      </c>
      <c r="H902" s="64">
        <f>30.2428* CHOOSE(CONTROL!$C$22, $C$13, 100%, $E$13)</f>
        <v>30.242799999999999</v>
      </c>
      <c r="I902" s="64">
        <f>30.2429 * CHOOSE(CONTROL!$C$22, $C$13, 100%, $E$13)</f>
        <v>30.242899999999999</v>
      </c>
      <c r="J902" s="64">
        <f>18.5891 * CHOOSE(CONTROL!$C$22, $C$13, 100%, $E$13)</f>
        <v>18.589099999999998</v>
      </c>
      <c r="K902" s="64">
        <f>18.5893 * CHOOSE(CONTROL!$C$22, $C$13, 100%, $E$13)</f>
        <v>18.589300000000001</v>
      </c>
    </row>
    <row r="903" spans="1:11" ht="15">
      <c r="A903" s="13">
        <v>69124</v>
      </c>
      <c r="B903" s="63">
        <f>15.8357 * CHOOSE(CONTROL!$C$22, $C$13, 100%, $E$13)</f>
        <v>15.835699999999999</v>
      </c>
      <c r="C903" s="63">
        <f>15.8357 * CHOOSE(CONTROL!$C$22, $C$13, 100%, $E$13)</f>
        <v>15.835699999999999</v>
      </c>
      <c r="D903" s="63">
        <f>15.8557 * CHOOSE(CONTROL!$C$22, $C$13, 100%, $E$13)</f>
        <v>15.855700000000001</v>
      </c>
      <c r="E903" s="64">
        <f>18.7576 * CHOOSE(CONTROL!$C$22, $C$13, 100%, $E$13)</f>
        <v>18.7576</v>
      </c>
      <c r="F903" s="64">
        <f>18.7576 * CHOOSE(CONTROL!$C$22, $C$13, 100%, $E$13)</f>
        <v>18.7576</v>
      </c>
      <c r="G903" s="64">
        <f>18.7578 * CHOOSE(CONTROL!$C$22, $C$13, 100%, $E$13)</f>
        <v>18.7578</v>
      </c>
      <c r="H903" s="64">
        <f>30.3058* CHOOSE(CONTROL!$C$22, $C$13, 100%, $E$13)</f>
        <v>30.305800000000001</v>
      </c>
      <c r="I903" s="64">
        <f>30.306 * CHOOSE(CONTROL!$C$22, $C$13, 100%, $E$13)</f>
        <v>30.306000000000001</v>
      </c>
      <c r="J903" s="64">
        <f>18.7576 * CHOOSE(CONTROL!$C$22, $C$13, 100%, $E$13)</f>
        <v>18.7576</v>
      </c>
      <c r="K903" s="64">
        <f>18.7578 * CHOOSE(CONTROL!$C$22, $C$13, 100%, $E$13)</f>
        <v>18.7578</v>
      </c>
    </row>
    <row r="904" spans="1:11" ht="15">
      <c r="A904" s="13">
        <v>69154</v>
      </c>
      <c r="B904" s="63">
        <f>15.8357 * CHOOSE(CONTROL!$C$22, $C$13, 100%, $E$13)</f>
        <v>15.835699999999999</v>
      </c>
      <c r="C904" s="63">
        <f>15.8357 * CHOOSE(CONTROL!$C$22, $C$13, 100%, $E$13)</f>
        <v>15.835699999999999</v>
      </c>
      <c r="D904" s="63">
        <f>15.8756 * CHOOSE(CONTROL!$C$22, $C$13, 100%, $E$13)</f>
        <v>15.8756</v>
      </c>
      <c r="E904" s="64">
        <f>18.8224 * CHOOSE(CONTROL!$C$22, $C$13, 100%, $E$13)</f>
        <v>18.822399999999998</v>
      </c>
      <c r="F904" s="64">
        <f>18.8224 * CHOOSE(CONTROL!$C$22, $C$13, 100%, $E$13)</f>
        <v>18.822399999999998</v>
      </c>
      <c r="G904" s="64">
        <f>18.8248 * CHOOSE(CONTROL!$C$22, $C$13, 100%, $E$13)</f>
        <v>18.8248</v>
      </c>
      <c r="H904" s="64">
        <f>30.3689* CHOOSE(CONTROL!$C$22, $C$13, 100%, $E$13)</f>
        <v>30.3689</v>
      </c>
      <c r="I904" s="64">
        <f>30.3714 * CHOOSE(CONTROL!$C$22, $C$13, 100%, $E$13)</f>
        <v>30.371400000000001</v>
      </c>
      <c r="J904" s="64">
        <f>18.8224 * CHOOSE(CONTROL!$C$22, $C$13, 100%, $E$13)</f>
        <v>18.822399999999998</v>
      </c>
      <c r="K904" s="64">
        <f>18.8248 * CHOOSE(CONTROL!$C$22, $C$13, 100%, $E$13)</f>
        <v>18.8248</v>
      </c>
    </row>
    <row r="905" spans="1:11" ht="15">
      <c r="A905" s="13">
        <v>69185</v>
      </c>
      <c r="B905" s="63">
        <f>15.8418 * CHOOSE(CONTROL!$C$22, $C$13, 100%, $E$13)</f>
        <v>15.841799999999999</v>
      </c>
      <c r="C905" s="63">
        <f>15.8418 * CHOOSE(CONTROL!$C$22, $C$13, 100%, $E$13)</f>
        <v>15.841799999999999</v>
      </c>
      <c r="D905" s="63">
        <f>15.8817 * CHOOSE(CONTROL!$C$22, $C$13, 100%, $E$13)</f>
        <v>15.8817</v>
      </c>
      <c r="E905" s="64">
        <f>18.7618 * CHOOSE(CONTROL!$C$22, $C$13, 100%, $E$13)</f>
        <v>18.761800000000001</v>
      </c>
      <c r="F905" s="64">
        <f>18.7618 * CHOOSE(CONTROL!$C$22, $C$13, 100%, $E$13)</f>
        <v>18.761800000000001</v>
      </c>
      <c r="G905" s="64">
        <f>18.7643 * CHOOSE(CONTROL!$C$22, $C$13, 100%, $E$13)</f>
        <v>18.764299999999999</v>
      </c>
      <c r="H905" s="64">
        <f>30.4322* CHOOSE(CONTROL!$C$22, $C$13, 100%, $E$13)</f>
        <v>30.432200000000002</v>
      </c>
      <c r="I905" s="64">
        <f>30.4346 * CHOOSE(CONTROL!$C$22, $C$13, 100%, $E$13)</f>
        <v>30.4346</v>
      </c>
      <c r="J905" s="64">
        <f>18.7618 * CHOOSE(CONTROL!$C$22, $C$13, 100%, $E$13)</f>
        <v>18.761800000000001</v>
      </c>
      <c r="K905" s="64">
        <f>18.7643 * CHOOSE(CONTROL!$C$22, $C$13, 100%, $E$13)</f>
        <v>18.764299999999999</v>
      </c>
    </row>
    <row r="906" spans="1:11" ht="15">
      <c r="A906" s="13">
        <v>69215</v>
      </c>
      <c r="B906" s="63">
        <f>16.0893 * CHOOSE(CONTROL!$C$22, $C$13, 100%, $E$13)</f>
        <v>16.089300000000001</v>
      </c>
      <c r="C906" s="63">
        <f>16.0893 * CHOOSE(CONTROL!$C$22, $C$13, 100%, $E$13)</f>
        <v>16.089300000000001</v>
      </c>
      <c r="D906" s="63">
        <f>16.1292 * CHOOSE(CONTROL!$C$22, $C$13, 100%, $E$13)</f>
        <v>16.129200000000001</v>
      </c>
      <c r="E906" s="64">
        <f>19.118 * CHOOSE(CONTROL!$C$22, $C$13, 100%, $E$13)</f>
        <v>19.117999999999999</v>
      </c>
      <c r="F906" s="64">
        <f>19.118 * CHOOSE(CONTROL!$C$22, $C$13, 100%, $E$13)</f>
        <v>19.117999999999999</v>
      </c>
      <c r="G906" s="64">
        <f>19.1205 * CHOOSE(CONTROL!$C$22, $C$13, 100%, $E$13)</f>
        <v>19.1205</v>
      </c>
      <c r="H906" s="64">
        <f>30.4956* CHOOSE(CONTROL!$C$22, $C$13, 100%, $E$13)</f>
        <v>30.4956</v>
      </c>
      <c r="I906" s="64">
        <f>30.498 * CHOOSE(CONTROL!$C$22, $C$13, 100%, $E$13)</f>
        <v>30.498000000000001</v>
      </c>
      <c r="J906" s="64">
        <f>19.118 * CHOOSE(CONTROL!$C$22, $C$13, 100%, $E$13)</f>
        <v>19.117999999999999</v>
      </c>
      <c r="K906" s="64">
        <f>19.1205 * CHOOSE(CONTROL!$C$22, $C$13, 100%, $E$13)</f>
        <v>19.1205</v>
      </c>
    </row>
    <row r="907" spans="1:11" ht="15">
      <c r="A907" s="13">
        <v>69246</v>
      </c>
      <c r="B907" s="63">
        <f>16.096 * CHOOSE(CONTROL!$C$22, $C$13, 100%, $E$13)</f>
        <v>16.096</v>
      </c>
      <c r="C907" s="63">
        <f>16.096 * CHOOSE(CONTROL!$C$22, $C$13, 100%, $E$13)</f>
        <v>16.096</v>
      </c>
      <c r="D907" s="63">
        <f>16.1359 * CHOOSE(CONTROL!$C$22, $C$13, 100%, $E$13)</f>
        <v>16.135899999999999</v>
      </c>
      <c r="E907" s="64">
        <f>18.9284 * CHOOSE(CONTROL!$C$22, $C$13, 100%, $E$13)</f>
        <v>18.9284</v>
      </c>
      <c r="F907" s="64">
        <f>18.9284 * CHOOSE(CONTROL!$C$22, $C$13, 100%, $E$13)</f>
        <v>18.9284</v>
      </c>
      <c r="G907" s="64">
        <f>18.9308 * CHOOSE(CONTROL!$C$22, $C$13, 100%, $E$13)</f>
        <v>18.930800000000001</v>
      </c>
      <c r="H907" s="64">
        <f>30.5591* CHOOSE(CONTROL!$C$22, $C$13, 100%, $E$13)</f>
        <v>30.559100000000001</v>
      </c>
      <c r="I907" s="64">
        <f>30.5616 * CHOOSE(CONTROL!$C$22, $C$13, 100%, $E$13)</f>
        <v>30.561599999999999</v>
      </c>
      <c r="J907" s="64">
        <f>18.9284 * CHOOSE(CONTROL!$C$22, $C$13, 100%, $E$13)</f>
        <v>18.9284</v>
      </c>
      <c r="K907" s="64">
        <f>18.9308 * CHOOSE(CONTROL!$C$22, $C$13, 100%, $E$13)</f>
        <v>18.930800000000001</v>
      </c>
    </row>
    <row r="908" spans="1:11" ht="15">
      <c r="A908" s="13">
        <v>69277</v>
      </c>
      <c r="B908" s="63">
        <f>16.093 * CHOOSE(CONTROL!$C$22, $C$13, 100%, $E$13)</f>
        <v>16.093</v>
      </c>
      <c r="C908" s="63">
        <f>16.093 * CHOOSE(CONTROL!$C$22, $C$13, 100%, $E$13)</f>
        <v>16.093</v>
      </c>
      <c r="D908" s="63">
        <f>16.1329 * CHOOSE(CONTROL!$C$22, $C$13, 100%, $E$13)</f>
        <v>16.132899999999999</v>
      </c>
      <c r="E908" s="64">
        <f>18.9047 * CHOOSE(CONTROL!$C$22, $C$13, 100%, $E$13)</f>
        <v>18.904699999999998</v>
      </c>
      <c r="F908" s="64">
        <f>18.9047 * CHOOSE(CONTROL!$C$22, $C$13, 100%, $E$13)</f>
        <v>18.904699999999998</v>
      </c>
      <c r="G908" s="64">
        <f>18.9071 * CHOOSE(CONTROL!$C$22, $C$13, 100%, $E$13)</f>
        <v>18.9071</v>
      </c>
      <c r="H908" s="64">
        <f>30.6228* CHOOSE(CONTROL!$C$22, $C$13, 100%, $E$13)</f>
        <v>30.622800000000002</v>
      </c>
      <c r="I908" s="64">
        <f>30.6252 * CHOOSE(CONTROL!$C$22, $C$13, 100%, $E$13)</f>
        <v>30.6252</v>
      </c>
      <c r="J908" s="64">
        <f>18.9047 * CHOOSE(CONTROL!$C$22, $C$13, 100%, $E$13)</f>
        <v>18.904699999999998</v>
      </c>
      <c r="K908" s="64">
        <f>18.9071 * CHOOSE(CONTROL!$C$22, $C$13, 100%, $E$13)</f>
        <v>18.9071</v>
      </c>
    </row>
    <row r="909" spans="1:11" ht="15">
      <c r="A909" s="13">
        <v>69307</v>
      </c>
      <c r="B909" s="63">
        <f>16.1276 * CHOOSE(CONTROL!$C$22, $C$13, 100%, $E$13)</f>
        <v>16.127600000000001</v>
      </c>
      <c r="C909" s="63">
        <f>16.1276 * CHOOSE(CONTROL!$C$22, $C$13, 100%, $E$13)</f>
        <v>16.127600000000001</v>
      </c>
      <c r="D909" s="63">
        <f>16.1476 * CHOOSE(CONTROL!$C$22, $C$13, 100%, $E$13)</f>
        <v>16.147600000000001</v>
      </c>
      <c r="E909" s="64">
        <f>18.9776 * CHOOSE(CONTROL!$C$22, $C$13, 100%, $E$13)</f>
        <v>18.977599999999999</v>
      </c>
      <c r="F909" s="64">
        <f>18.9776 * CHOOSE(CONTROL!$C$22, $C$13, 100%, $E$13)</f>
        <v>18.977599999999999</v>
      </c>
      <c r="G909" s="64">
        <f>18.9778 * CHOOSE(CONTROL!$C$22, $C$13, 100%, $E$13)</f>
        <v>18.977799999999998</v>
      </c>
      <c r="H909" s="64">
        <f>30.6866* CHOOSE(CONTROL!$C$22, $C$13, 100%, $E$13)</f>
        <v>30.686599999999999</v>
      </c>
      <c r="I909" s="64">
        <f>30.6868 * CHOOSE(CONTROL!$C$22, $C$13, 100%, $E$13)</f>
        <v>30.686800000000002</v>
      </c>
      <c r="J909" s="64">
        <f>18.9776 * CHOOSE(CONTROL!$C$22, $C$13, 100%, $E$13)</f>
        <v>18.977599999999999</v>
      </c>
      <c r="K909" s="64">
        <f>18.9778 * CHOOSE(CONTROL!$C$22, $C$13, 100%, $E$13)</f>
        <v>18.977799999999998</v>
      </c>
    </row>
    <row r="910" spans="1:11" ht="15">
      <c r="A910" s="13">
        <v>69338</v>
      </c>
      <c r="B910" s="63">
        <f>16.1306 * CHOOSE(CONTROL!$C$22, $C$13, 100%, $E$13)</f>
        <v>16.130600000000001</v>
      </c>
      <c r="C910" s="63">
        <f>16.1306 * CHOOSE(CONTROL!$C$22, $C$13, 100%, $E$13)</f>
        <v>16.130600000000001</v>
      </c>
      <c r="D910" s="63">
        <f>16.1506 * CHOOSE(CONTROL!$C$22, $C$13, 100%, $E$13)</f>
        <v>16.150600000000001</v>
      </c>
      <c r="E910" s="64">
        <f>19.0229 * CHOOSE(CONTROL!$C$22, $C$13, 100%, $E$13)</f>
        <v>19.0229</v>
      </c>
      <c r="F910" s="64">
        <f>19.0229 * CHOOSE(CONTROL!$C$22, $C$13, 100%, $E$13)</f>
        <v>19.0229</v>
      </c>
      <c r="G910" s="64">
        <f>19.0231 * CHOOSE(CONTROL!$C$22, $C$13, 100%, $E$13)</f>
        <v>19.023099999999999</v>
      </c>
      <c r="H910" s="64">
        <f>30.7505* CHOOSE(CONTROL!$C$22, $C$13, 100%, $E$13)</f>
        <v>30.750499999999999</v>
      </c>
      <c r="I910" s="64">
        <f>30.7507 * CHOOSE(CONTROL!$C$22, $C$13, 100%, $E$13)</f>
        <v>30.750699999999998</v>
      </c>
      <c r="J910" s="64">
        <f>19.0229 * CHOOSE(CONTROL!$C$22, $C$13, 100%, $E$13)</f>
        <v>19.0229</v>
      </c>
      <c r="K910" s="64">
        <f>19.0231 * CHOOSE(CONTROL!$C$22, $C$13, 100%, $E$13)</f>
        <v>19.023099999999999</v>
      </c>
    </row>
    <row r="911" spans="1:11" ht="15">
      <c r="A911" s="13">
        <v>69368</v>
      </c>
      <c r="B911" s="63">
        <f>16.1306 * CHOOSE(CONTROL!$C$22, $C$13, 100%, $E$13)</f>
        <v>16.130600000000001</v>
      </c>
      <c r="C911" s="63">
        <f>16.1306 * CHOOSE(CONTROL!$C$22, $C$13, 100%, $E$13)</f>
        <v>16.130600000000001</v>
      </c>
      <c r="D911" s="63">
        <f>16.1506 * CHOOSE(CONTROL!$C$22, $C$13, 100%, $E$13)</f>
        <v>16.150600000000001</v>
      </c>
      <c r="E911" s="64">
        <f>18.915 * CHOOSE(CONTROL!$C$22, $C$13, 100%, $E$13)</f>
        <v>18.914999999999999</v>
      </c>
      <c r="F911" s="64">
        <f>18.915 * CHOOSE(CONTROL!$C$22, $C$13, 100%, $E$13)</f>
        <v>18.914999999999999</v>
      </c>
      <c r="G911" s="64">
        <f>18.9151 * CHOOSE(CONTROL!$C$22, $C$13, 100%, $E$13)</f>
        <v>18.915099999999999</v>
      </c>
      <c r="H911" s="64">
        <f>30.8146* CHOOSE(CONTROL!$C$22, $C$13, 100%, $E$13)</f>
        <v>30.814599999999999</v>
      </c>
      <c r="I911" s="64">
        <f>30.8147 * CHOOSE(CONTROL!$C$22, $C$13, 100%, $E$13)</f>
        <v>30.814699999999998</v>
      </c>
      <c r="J911" s="64">
        <f>18.915 * CHOOSE(CONTROL!$C$22, $C$13, 100%, $E$13)</f>
        <v>18.914999999999999</v>
      </c>
      <c r="K911" s="64">
        <f>18.9151 * CHOOSE(CONTROL!$C$22, $C$13, 100%, $E$13)</f>
        <v>18.915099999999999</v>
      </c>
    </row>
    <row r="912" spans="1:11" ht="15">
      <c r="A912" s="13">
        <v>69399</v>
      </c>
      <c r="B912" s="63">
        <f>16.0794 * CHOOSE(CONTROL!$C$22, $C$13, 100%, $E$13)</f>
        <v>16.0794</v>
      </c>
      <c r="C912" s="63">
        <f>16.0794 * CHOOSE(CONTROL!$C$22, $C$13, 100%, $E$13)</f>
        <v>16.0794</v>
      </c>
      <c r="D912" s="63">
        <f>16.0993 * CHOOSE(CONTROL!$C$22, $C$13, 100%, $E$13)</f>
        <v>16.099299999999999</v>
      </c>
      <c r="E912" s="64">
        <f>18.9289 * CHOOSE(CONTROL!$C$22, $C$13, 100%, $E$13)</f>
        <v>18.928899999999999</v>
      </c>
      <c r="F912" s="64">
        <f>18.9289 * CHOOSE(CONTROL!$C$22, $C$13, 100%, $E$13)</f>
        <v>18.928899999999999</v>
      </c>
      <c r="G912" s="64">
        <f>18.9291 * CHOOSE(CONTROL!$C$22, $C$13, 100%, $E$13)</f>
        <v>18.929099999999998</v>
      </c>
      <c r="H912" s="64">
        <f>30.563* CHOOSE(CONTROL!$C$22, $C$13, 100%, $E$13)</f>
        <v>30.562999999999999</v>
      </c>
      <c r="I912" s="64">
        <f>30.5632 * CHOOSE(CONTROL!$C$22, $C$13, 100%, $E$13)</f>
        <v>30.563199999999998</v>
      </c>
      <c r="J912" s="64">
        <f>18.9289 * CHOOSE(CONTROL!$C$22, $C$13, 100%, $E$13)</f>
        <v>18.928899999999999</v>
      </c>
      <c r="K912" s="64">
        <f>18.9291 * CHOOSE(CONTROL!$C$22, $C$13, 100%, $E$13)</f>
        <v>18.929099999999998</v>
      </c>
    </row>
    <row r="913" spans="1:11" ht="15">
      <c r="A913" s="13">
        <v>69430</v>
      </c>
      <c r="B913" s="63">
        <f>16.0763 * CHOOSE(CONTROL!$C$22, $C$13, 100%, $E$13)</f>
        <v>16.0763</v>
      </c>
      <c r="C913" s="63">
        <f>16.0763 * CHOOSE(CONTROL!$C$22, $C$13, 100%, $E$13)</f>
        <v>16.0763</v>
      </c>
      <c r="D913" s="63">
        <f>16.0963 * CHOOSE(CONTROL!$C$22, $C$13, 100%, $E$13)</f>
        <v>16.096299999999999</v>
      </c>
      <c r="E913" s="64">
        <f>18.7196 * CHOOSE(CONTROL!$C$22, $C$13, 100%, $E$13)</f>
        <v>18.7196</v>
      </c>
      <c r="F913" s="64">
        <f>18.7196 * CHOOSE(CONTROL!$C$22, $C$13, 100%, $E$13)</f>
        <v>18.7196</v>
      </c>
      <c r="G913" s="64">
        <f>18.7198 * CHOOSE(CONTROL!$C$22, $C$13, 100%, $E$13)</f>
        <v>18.719799999999999</v>
      </c>
      <c r="H913" s="64">
        <f>30.6267* CHOOSE(CONTROL!$C$22, $C$13, 100%, $E$13)</f>
        <v>30.6267</v>
      </c>
      <c r="I913" s="64">
        <f>30.6269 * CHOOSE(CONTROL!$C$22, $C$13, 100%, $E$13)</f>
        <v>30.626899999999999</v>
      </c>
      <c r="J913" s="64">
        <f>18.7196 * CHOOSE(CONTROL!$C$22, $C$13, 100%, $E$13)</f>
        <v>18.7196</v>
      </c>
      <c r="K913" s="64">
        <f>18.7198 * CHOOSE(CONTROL!$C$22, $C$13, 100%, $E$13)</f>
        <v>18.719799999999999</v>
      </c>
    </row>
    <row r="914" spans="1:11" ht="15">
      <c r="A914" s="13">
        <v>69458</v>
      </c>
      <c r="B914" s="63">
        <f>16.0733 * CHOOSE(CONTROL!$C$22, $C$13, 100%, $E$13)</f>
        <v>16.0733</v>
      </c>
      <c r="C914" s="63">
        <f>16.0733 * CHOOSE(CONTROL!$C$22, $C$13, 100%, $E$13)</f>
        <v>16.0733</v>
      </c>
      <c r="D914" s="63">
        <f>16.0933 * CHOOSE(CONTROL!$C$22, $C$13, 100%, $E$13)</f>
        <v>16.093299999999999</v>
      </c>
      <c r="E914" s="64">
        <f>18.8809 * CHOOSE(CONTROL!$C$22, $C$13, 100%, $E$13)</f>
        <v>18.8809</v>
      </c>
      <c r="F914" s="64">
        <f>18.8809 * CHOOSE(CONTROL!$C$22, $C$13, 100%, $E$13)</f>
        <v>18.8809</v>
      </c>
      <c r="G914" s="64">
        <f>18.881 * CHOOSE(CONTROL!$C$22, $C$13, 100%, $E$13)</f>
        <v>18.881</v>
      </c>
      <c r="H914" s="64">
        <f>30.6905* CHOOSE(CONTROL!$C$22, $C$13, 100%, $E$13)</f>
        <v>30.6905</v>
      </c>
      <c r="I914" s="64">
        <f>30.6907 * CHOOSE(CONTROL!$C$22, $C$13, 100%, $E$13)</f>
        <v>30.6907</v>
      </c>
      <c r="J914" s="64">
        <f>18.8809 * CHOOSE(CONTROL!$C$22, $C$13, 100%, $E$13)</f>
        <v>18.8809</v>
      </c>
      <c r="K914" s="64">
        <f>18.881 * CHOOSE(CONTROL!$C$22, $C$13, 100%, $E$13)</f>
        <v>18.881</v>
      </c>
    </row>
    <row r="915" spans="1:11" ht="15">
      <c r="A915" s="13">
        <v>69489</v>
      </c>
      <c r="B915" s="63">
        <f>16.0812 * CHOOSE(CONTROL!$C$22, $C$13, 100%, $E$13)</f>
        <v>16.081199999999999</v>
      </c>
      <c r="C915" s="63">
        <f>16.0812 * CHOOSE(CONTROL!$C$22, $C$13, 100%, $E$13)</f>
        <v>16.081199999999999</v>
      </c>
      <c r="D915" s="63">
        <f>16.1012 * CHOOSE(CONTROL!$C$22, $C$13, 100%, $E$13)</f>
        <v>16.101199999999999</v>
      </c>
      <c r="E915" s="64">
        <f>19.052 * CHOOSE(CONTROL!$C$22, $C$13, 100%, $E$13)</f>
        <v>19.052</v>
      </c>
      <c r="F915" s="64">
        <f>19.052 * CHOOSE(CONTROL!$C$22, $C$13, 100%, $E$13)</f>
        <v>19.052</v>
      </c>
      <c r="G915" s="64">
        <f>19.0522 * CHOOSE(CONTROL!$C$22, $C$13, 100%, $E$13)</f>
        <v>19.052199999999999</v>
      </c>
      <c r="H915" s="64">
        <f>30.7545* CHOOSE(CONTROL!$C$22, $C$13, 100%, $E$13)</f>
        <v>30.7545</v>
      </c>
      <c r="I915" s="64">
        <f>30.7546 * CHOOSE(CONTROL!$C$22, $C$13, 100%, $E$13)</f>
        <v>30.7546</v>
      </c>
      <c r="J915" s="64">
        <f>19.052 * CHOOSE(CONTROL!$C$22, $C$13, 100%, $E$13)</f>
        <v>19.052</v>
      </c>
      <c r="K915" s="64">
        <f>19.0522 * CHOOSE(CONTROL!$C$22, $C$13, 100%, $E$13)</f>
        <v>19.052199999999999</v>
      </c>
    </row>
    <row r="916" spans="1:11" ht="15">
      <c r="A916" s="13">
        <v>69519</v>
      </c>
      <c r="B916" s="63">
        <f>16.0812 * CHOOSE(CONTROL!$C$22, $C$13, 100%, $E$13)</f>
        <v>16.081199999999999</v>
      </c>
      <c r="C916" s="63">
        <f>16.0812 * CHOOSE(CONTROL!$C$22, $C$13, 100%, $E$13)</f>
        <v>16.081199999999999</v>
      </c>
      <c r="D916" s="63">
        <f>16.1212 * CHOOSE(CONTROL!$C$22, $C$13, 100%, $E$13)</f>
        <v>16.121200000000002</v>
      </c>
      <c r="E916" s="64">
        <f>19.1178 * CHOOSE(CONTROL!$C$22, $C$13, 100%, $E$13)</f>
        <v>19.117799999999999</v>
      </c>
      <c r="F916" s="64">
        <f>19.1178 * CHOOSE(CONTROL!$C$22, $C$13, 100%, $E$13)</f>
        <v>19.117799999999999</v>
      </c>
      <c r="G916" s="64">
        <f>19.1203 * CHOOSE(CONTROL!$C$22, $C$13, 100%, $E$13)</f>
        <v>19.1203</v>
      </c>
      <c r="H916" s="64">
        <f>30.8185* CHOOSE(CONTROL!$C$22, $C$13, 100%, $E$13)</f>
        <v>30.8185</v>
      </c>
      <c r="I916" s="64">
        <f>30.821 * CHOOSE(CONTROL!$C$22, $C$13, 100%, $E$13)</f>
        <v>30.821000000000002</v>
      </c>
      <c r="J916" s="64">
        <f>19.1178 * CHOOSE(CONTROL!$C$22, $C$13, 100%, $E$13)</f>
        <v>19.117799999999999</v>
      </c>
      <c r="K916" s="64">
        <f>19.1203 * CHOOSE(CONTROL!$C$22, $C$13, 100%, $E$13)</f>
        <v>19.1203</v>
      </c>
    </row>
    <row r="917" spans="1:11" ht="15">
      <c r="A917" s="13">
        <v>69550</v>
      </c>
      <c r="B917" s="63">
        <f>16.0873 * CHOOSE(CONTROL!$C$22, $C$13, 100%, $E$13)</f>
        <v>16.087299999999999</v>
      </c>
      <c r="C917" s="63">
        <f>16.0873 * CHOOSE(CONTROL!$C$22, $C$13, 100%, $E$13)</f>
        <v>16.087299999999999</v>
      </c>
      <c r="D917" s="63">
        <f>16.1272 * CHOOSE(CONTROL!$C$22, $C$13, 100%, $E$13)</f>
        <v>16.127199999999998</v>
      </c>
      <c r="E917" s="64">
        <f>19.0563 * CHOOSE(CONTROL!$C$22, $C$13, 100%, $E$13)</f>
        <v>19.0563</v>
      </c>
      <c r="F917" s="64">
        <f>19.0563 * CHOOSE(CONTROL!$C$22, $C$13, 100%, $E$13)</f>
        <v>19.0563</v>
      </c>
      <c r="G917" s="64">
        <f>19.0587 * CHOOSE(CONTROL!$C$22, $C$13, 100%, $E$13)</f>
        <v>19.058700000000002</v>
      </c>
      <c r="H917" s="64">
        <f>30.8827* CHOOSE(CONTROL!$C$22, $C$13, 100%, $E$13)</f>
        <v>30.8827</v>
      </c>
      <c r="I917" s="64">
        <f>30.8852 * CHOOSE(CONTROL!$C$22, $C$13, 100%, $E$13)</f>
        <v>30.885200000000001</v>
      </c>
      <c r="J917" s="64">
        <f>19.0563 * CHOOSE(CONTROL!$C$22, $C$13, 100%, $E$13)</f>
        <v>19.0563</v>
      </c>
      <c r="K917" s="64">
        <f>19.0587 * CHOOSE(CONTROL!$C$22, $C$13, 100%, $E$13)</f>
        <v>19.058700000000002</v>
      </c>
    </row>
    <row r="918" spans="1:11" ht="15">
      <c r="A918" s="13">
        <v>69580</v>
      </c>
      <c r="B918" s="63">
        <f>16.3385 * CHOOSE(CONTROL!$C$22, $C$13, 100%, $E$13)</f>
        <v>16.3385</v>
      </c>
      <c r="C918" s="63">
        <f>16.3385 * CHOOSE(CONTROL!$C$22, $C$13, 100%, $E$13)</f>
        <v>16.3385</v>
      </c>
      <c r="D918" s="63">
        <f>16.3785 * CHOOSE(CONTROL!$C$22, $C$13, 100%, $E$13)</f>
        <v>16.378499999999999</v>
      </c>
      <c r="E918" s="64">
        <f>19.4179 * CHOOSE(CONTROL!$C$22, $C$13, 100%, $E$13)</f>
        <v>19.417899999999999</v>
      </c>
      <c r="F918" s="64">
        <f>19.4179 * CHOOSE(CONTROL!$C$22, $C$13, 100%, $E$13)</f>
        <v>19.417899999999999</v>
      </c>
      <c r="G918" s="64">
        <f>19.4203 * CHOOSE(CONTROL!$C$22, $C$13, 100%, $E$13)</f>
        <v>19.420300000000001</v>
      </c>
      <c r="H918" s="64">
        <f>30.9471* CHOOSE(CONTROL!$C$22, $C$13, 100%, $E$13)</f>
        <v>30.947099999999999</v>
      </c>
      <c r="I918" s="64">
        <f>30.9495 * CHOOSE(CONTROL!$C$22, $C$13, 100%, $E$13)</f>
        <v>30.9495</v>
      </c>
      <c r="J918" s="64">
        <f>19.4179 * CHOOSE(CONTROL!$C$22, $C$13, 100%, $E$13)</f>
        <v>19.417899999999999</v>
      </c>
      <c r="K918" s="64">
        <f>19.4203 * CHOOSE(CONTROL!$C$22, $C$13, 100%, $E$13)</f>
        <v>19.420300000000001</v>
      </c>
    </row>
    <row r="919" spans="1:11" ht="15">
      <c r="A919" s="13">
        <v>69611</v>
      </c>
      <c r="B919" s="63">
        <f>16.3452 * CHOOSE(CONTROL!$C$22, $C$13, 100%, $E$13)</f>
        <v>16.345199999999998</v>
      </c>
      <c r="C919" s="63">
        <f>16.3452 * CHOOSE(CONTROL!$C$22, $C$13, 100%, $E$13)</f>
        <v>16.345199999999998</v>
      </c>
      <c r="D919" s="63">
        <f>16.3851 * CHOOSE(CONTROL!$C$22, $C$13, 100%, $E$13)</f>
        <v>16.385100000000001</v>
      </c>
      <c r="E919" s="64">
        <f>19.2252 * CHOOSE(CONTROL!$C$22, $C$13, 100%, $E$13)</f>
        <v>19.225200000000001</v>
      </c>
      <c r="F919" s="64">
        <f>19.2252 * CHOOSE(CONTROL!$C$22, $C$13, 100%, $E$13)</f>
        <v>19.225200000000001</v>
      </c>
      <c r="G919" s="64">
        <f>19.2276 * CHOOSE(CONTROL!$C$22, $C$13, 100%, $E$13)</f>
        <v>19.227599999999999</v>
      </c>
      <c r="H919" s="64">
        <f>31.0115* CHOOSE(CONTROL!$C$22, $C$13, 100%, $E$13)</f>
        <v>31.011500000000002</v>
      </c>
      <c r="I919" s="64">
        <f>31.014 * CHOOSE(CONTROL!$C$22, $C$13, 100%, $E$13)</f>
        <v>31.013999999999999</v>
      </c>
      <c r="J919" s="64">
        <f>19.2252 * CHOOSE(CONTROL!$C$22, $C$13, 100%, $E$13)</f>
        <v>19.225200000000001</v>
      </c>
      <c r="K919" s="64">
        <f>19.2276 * CHOOSE(CONTROL!$C$22, $C$13, 100%, $E$13)</f>
        <v>19.227599999999999</v>
      </c>
    </row>
    <row r="920" spans="1:11" ht="15">
      <c r="A920" s="13">
        <v>69642</v>
      </c>
      <c r="B920" s="63">
        <f>16.3422 * CHOOSE(CONTROL!$C$22, $C$13, 100%, $E$13)</f>
        <v>16.342199999999998</v>
      </c>
      <c r="C920" s="63">
        <f>16.3422 * CHOOSE(CONTROL!$C$22, $C$13, 100%, $E$13)</f>
        <v>16.342199999999998</v>
      </c>
      <c r="D920" s="63">
        <f>16.3821 * CHOOSE(CONTROL!$C$22, $C$13, 100%, $E$13)</f>
        <v>16.382100000000001</v>
      </c>
      <c r="E920" s="64">
        <f>19.2012 * CHOOSE(CONTROL!$C$22, $C$13, 100%, $E$13)</f>
        <v>19.2012</v>
      </c>
      <c r="F920" s="64">
        <f>19.2012 * CHOOSE(CONTROL!$C$22, $C$13, 100%, $E$13)</f>
        <v>19.2012</v>
      </c>
      <c r="G920" s="64">
        <f>19.2036 * CHOOSE(CONTROL!$C$22, $C$13, 100%, $E$13)</f>
        <v>19.203600000000002</v>
      </c>
      <c r="H920" s="64">
        <f>31.0762* CHOOSE(CONTROL!$C$22, $C$13, 100%, $E$13)</f>
        <v>31.0762</v>
      </c>
      <c r="I920" s="64">
        <f>31.0786 * CHOOSE(CONTROL!$C$22, $C$13, 100%, $E$13)</f>
        <v>31.078600000000002</v>
      </c>
      <c r="J920" s="64">
        <f>19.2012 * CHOOSE(CONTROL!$C$22, $C$13, 100%, $E$13)</f>
        <v>19.2012</v>
      </c>
      <c r="K920" s="64">
        <f>19.2036 * CHOOSE(CONTROL!$C$22, $C$13, 100%, $E$13)</f>
        <v>19.203600000000002</v>
      </c>
    </row>
    <row r="921" spans="1:11" ht="15">
      <c r="A921" s="13">
        <v>69672</v>
      </c>
      <c r="B921" s="63">
        <f>16.3776 * CHOOSE(CONTROL!$C$22, $C$13, 100%, $E$13)</f>
        <v>16.377600000000001</v>
      </c>
      <c r="C921" s="63">
        <f>16.3776 * CHOOSE(CONTROL!$C$22, $C$13, 100%, $E$13)</f>
        <v>16.377600000000001</v>
      </c>
      <c r="D921" s="63">
        <f>16.3976 * CHOOSE(CONTROL!$C$22, $C$13, 100%, $E$13)</f>
        <v>16.397600000000001</v>
      </c>
      <c r="E921" s="64">
        <f>19.2754 * CHOOSE(CONTROL!$C$22, $C$13, 100%, $E$13)</f>
        <v>19.275400000000001</v>
      </c>
      <c r="F921" s="64">
        <f>19.2754 * CHOOSE(CONTROL!$C$22, $C$13, 100%, $E$13)</f>
        <v>19.275400000000001</v>
      </c>
      <c r="G921" s="64">
        <f>19.2756 * CHOOSE(CONTROL!$C$22, $C$13, 100%, $E$13)</f>
        <v>19.275600000000001</v>
      </c>
      <c r="H921" s="64">
        <f>31.1409* CHOOSE(CONTROL!$C$22, $C$13, 100%, $E$13)</f>
        <v>31.140899999999998</v>
      </c>
      <c r="I921" s="64">
        <f>31.1411 * CHOOSE(CONTROL!$C$22, $C$13, 100%, $E$13)</f>
        <v>31.141100000000002</v>
      </c>
      <c r="J921" s="64">
        <f>19.2754 * CHOOSE(CONTROL!$C$22, $C$13, 100%, $E$13)</f>
        <v>19.275400000000001</v>
      </c>
      <c r="K921" s="64">
        <f>19.2756 * CHOOSE(CONTROL!$C$22, $C$13, 100%, $E$13)</f>
        <v>19.275600000000001</v>
      </c>
    </row>
    <row r="922" spans="1:11" ht="15">
      <c r="A922" s="13">
        <v>69703</v>
      </c>
      <c r="B922" s="63">
        <f>16.3807 * CHOOSE(CONTROL!$C$22, $C$13, 100%, $E$13)</f>
        <v>16.380700000000001</v>
      </c>
      <c r="C922" s="63">
        <f>16.3807 * CHOOSE(CONTROL!$C$22, $C$13, 100%, $E$13)</f>
        <v>16.380700000000001</v>
      </c>
      <c r="D922" s="63">
        <f>16.4006 * CHOOSE(CONTROL!$C$22, $C$13, 100%, $E$13)</f>
        <v>16.400600000000001</v>
      </c>
      <c r="E922" s="64">
        <f>19.3214 * CHOOSE(CONTROL!$C$22, $C$13, 100%, $E$13)</f>
        <v>19.321400000000001</v>
      </c>
      <c r="F922" s="64">
        <f>19.3214 * CHOOSE(CONTROL!$C$22, $C$13, 100%, $E$13)</f>
        <v>19.321400000000001</v>
      </c>
      <c r="G922" s="64">
        <f>19.3216 * CHOOSE(CONTROL!$C$22, $C$13, 100%, $E$13)</f>
        <v>19.3216</v>
      </c>
      <c r="H922" s="64">
        <f>31.2058* CHOOSE(CONTROL!$C$22, $C$13, 100%, $E$13)</f>
        <v>31.2058</v>
      </c>
      <c r="I922" s="64">
        <f>31.206 * CHOOSE(CONTROL!$C$22, $C$13, 100%, $E$13)</f>
        <v>31.206</v>
      </c>
      <c r="J922" s="64">
        <f>19.3214 * CHOOSE(CONTROL!$C$22, $C$13, 100%, $E$13)</f>
        <v>19.321400000000001</v>
      </c>
      <c r="K922" s="64">
        <f>19.3216 * CHOOSE(CONTROL!$C$22, $C$13, 100%, $E$13)</f>
        <v>19.3216</v>
      </c>
    </row>
    <row r="923" spans="1:11" ht="15">
      <c r="A923" s="13">
        <v>69733</v>
      </c>
      <c r="B923" s="63">
        <f>16.3807 * CHOOSE(CONTROL!$C$22, $C$13, 100%, $E$13)</f>
        <v>16.380700000000001</v>
      </c>
      <c r="C923" s="63">
        <f>16.3807 * CHOOSE(CONTROL!$C$22, $C$13, 100%, $E$13)</f>
        <v>16.380700000000001</v>
      </c>
      <c r="D923" s="63">
        <f>16.4006 * CHOOSE(CONTROL!$C$22, $C$13, 100%, $E$13)</f>
        <v>16.400600000000001</v>
      </c>
      <c r="E923" s="64">
        <f>19.2118 * CHOOSE(CONTROL!$C$22, $C$13, 100%, $E$13)</f>
        <v>19.2118</v>
      </c>
      <c r="F923" s="64">
        <f>19.2118 * CHOOSE(CONTROL!$C$22, $C$13, 100%, $E$13)</f>
        <v>19.2118</v>
      </c>
      <c r="G923" s="64">
        <f>19.212 * CHOOSE(CONTROL!$C$22, $C$13, 100%, $E$13)</f>
        <v>19.212</v>
      </c>
      <c r="H923" s="64">
        <f>31.2708* CHOOSE(CONTROL!$C$22, $C$13, 100%, $E$13)</f>
        <v>31.270800000000001</v>
      </c>
      <c r="I923" s="64">
        <f>31.271 * CHOOSE(CONTROL!$C$22, $C$13, 100%, $E$13)</f>
        <v>31.271000000000001</v>
      </c>
      <c r="J923" s="64">
        <f>19.2118 * CHOOSE(CONTROL!$C$22, $C$13, 100%, $E$13)</f>
        <v>19.2118</v>
      </c>
      <c r="K923" s="64">
        <f>19.212 * CHOOSE(CONTROL!$C$22, $C$13, 100%, $E$13)</f>
        <v>19.212</v>
      </c>
    </row>
    <row r="924" spans="1:11" ht="15">
      <c r="A924" s="13">
        <v>69764</v>
      </c>
      <c r="B924" s="63">
        <f>16.3247 * CHOOSE(CONTROL!$C$22, $C$13, 100%, $E$13)</f>
        <v>16.3247</v>
      </c>
      <c r="C924" s="63">
        <f>16.3247 * CHOOSE(CONTROL!$C$22, $C$13, 100%, $E$13)</f>
        <v>16.3247</v>
      </c>
      <c r="D924" s="63">
        <f>16.3447 * CHOOSE(CONTROL!$C$22, $C$13, 100%, $E$13)</f>
        <v>16.3447</v>
      </c>
      <c r="E924" s="64">
        <f>19.2214 * CHOOSE(CONTROL!$C$22, $C$13, 100%, $E$13)</f>
        <v>19.221399999999999</v>
      </c>
      <c r="F924" s="64">
        <f>19.2214 * CHOOSE(CONTROL!$C$22, $C$13, 100%, $E$13)</f>
        <v>19.221399999999999</v>
      </c>
      <c r="G924" s="64">
        <f>19.2215 * CHOOSE(CONTROL!$C$22, $C$13, 100%, $E$13)</f>
        <v>19.221499999999999</v>
      </c>
      <c r="H924" s="64">
        <f>31.0089* CHOOSE(CONTROL!$C$22, $C$13, 100%, $E$13)</f>
        <v>31.008900000000001</v>
      </c>
      <c r="I924" s="64">
        <f>31.0091 * CHOOSE(CONTROL!$C$22, $C$13, 100%, $E$13)</f>
        <v>31.0091</v>
      </c>
      <c r="J924" s="64">
        <f>19.2214 * CHOOSE(CONTROL!$C$22, $C$13, 100%, $E$13)</f>
        <v>19.221399999999999</v>
      </c>
      <c r="K924" s="64">
        <f>19.2215 * CHOOSE(CONTROL!$C$22, $C$13, 100%, $E$13)</f>
        <v>19.221499999999999</v>
      </c>
    </row>
    <row r="925" spans="1:11" ht="15">
      <c r="A925" s="13">
        <v>69795</v>
      </c>
      <c r="B925" s="63">
        <f>16.3216 * CHOOSE(CONTROL!$C$22, $C$13, 100%, $E$13)</f>
        <v>16.3216</v>
      </c>
      <c r="C925" s="63">
        <f>16.3216 * CHOOSE(CONTROL!$C$22, $C$13, 100%, $E$13)</f>
        <v>16.3216</v>
      </c>
      <c r="D925" s="63">
        <f>16.3416 * CHOOSE(CONTROL!$C$22, $C$13, 100%, $E$13)</f>
        <v>16.3416</v>
      </c>
      <c r="E925" s="64">
        <f>19.0088 * CHOOSE(CONTROL!$C$22, $C$13, 100%, $E$13)</f>
        <v>19.008800000000001</v>
      </c>
      <c r="F925" s="64">
        <f>19.0088 * CHOOSE(CONTROL!$C$22, $C$13, 100%, $E$13)</f>
        <v>19.008800000000001</v>
      </c>
      <c r="G925" s="64">
        <f>19.009 * CHOOSE(CONTROL!$C$22, $C$13, 100%, $E$13)</f>
        <v>19.009</v>
      </c>
      <c r="H925" s="64">
        <f>31.0735* CHOOSE(CONTROL!$C$22, $C$13, 100%, $E$13)</f>
        <v>31.073499999999999</v>
      </c>
      <c r="I925" s="64">
        <f>31.0737 * CHOOSE(CONTROL!$C$22, $C$13, 100%, $E$13)</f>
        <v>31.073699999999999</v>
      </c>
      <c r="J925" s="64">
        <f>19.0088 * CHOOSE(CONTROL!$C$22, $C$13, 100%, $E$13)</f>
        <v>19.008800000000001</v>
      </c>
      <c r="K925" s="64">
        <f>19.009 * CHOOSE(CONTROL!$C$22, $C$13, 100%, $E$13)</f>
        <v>19.009</v>
      </c>
    </row>
    <row r="926" spans="1:11" ht="15">
      <c r="A926" s="13">
        <v>69823</v>
      </c>
      <c r="B926" s="63">
        <f>16.3186 * CHOOSE(CONTROL!$C$22, $C$13, 100%, $E$13)</f>
        <v>16.3186</v>
      </c>
      <c r="C926" s="63">
        <f>16.3186 * CHOOSE(CONTROL!$C$22, $C$13, 100%, $E$13)</f>
        <v>16.3186</v>
      </c>
      <c r="D926" s="63">
        <f>16.3386 * CHOOSE(CONTROL!$C$22, $C$13, 100%, $E$13)</f>
        <v>16.3386</v>
      </c>
      <c r="E926" s="64">
        <f>19.1726 * CHOOSE(CONTROL!$C$22, $C$13, 100%, $E$13)</f>
        <v>19.172599999999999</v>
      </c>
      <c r="F926" s="64">
        <f>19.1726 * CHOOSE(CONTROL!$C$22, $C$13, 100%, $E$13)</f>
        <v>19.172599999999999</v>
      </c>
      <c r="G926" s="64">
        <f>19.1728 * CHOOSE(CONTROL!$C$22, $C$13, 100%, $E$13)</f>
        <v>19.172799999999999</v>
      </c>
      <c r="H926" s="64">
        <f>31.1383* CHOOSE(CONTROL!$C$22, $C$13, 100%, $E$13)</f>
        <v>31.138300000000001</v>
      </c>
      <c r="I926" s="64">
        <f>31.1384 * CHOOSE(CONTROL!$C$22, $C$13, 100%, $E$13)</f>
        <v>31.138400000000001</v>
      </c>
      <c r="J926" s="64">
        <f>19.1726 * CHOOSE(CONTROL!$C$22, $C$13, 100%, $E$13)</f>
        <v>19.172599999999999</v>
      </c>
      <c r="K926" s="64">
        <f>19.1728 * CHOOSE(CONTROL!$C$22, $C$13, 100%, $E$13)</f>
        <v>19.172799999999999</v>
      </c>
    </row>
    <row r="927" spans="1:11" ht="15">
      <c r="A927" s="13">
        <v>69854</v>
      </c>
      <c r="B927" s="63">
        <f>16.3267 * CHOOSE(CONTROL!$C$22, $C$13, 100%, $E$13)</f>
        <v>16.326699999999999</v>
      </c>
      <c r="C927" s="63">
        <f>16.3267 * CHOOSE(CONTROL!$C$22, $C$13, 100%, $E$13)</f>
        <v>16.326699999999999</v>
      </c>
      <c r="D927" s="63">
        <f>16.3467 * CHOOSE(CONTROL!$C$22, $C$13, 100%, $E$13)</f>
        <v>16.346699999999998</v>
      </c>
      <c r="E927" s="64">
        <f>19.3465 * CHOOSE(CONTROL!$C$22, $C$13, 100%, $E$13)</f>
        <v>19.346499999999999</v>
      </c>
      <c r="F927" s="64">
        <f>19.3465 * CHOOSE(CONTROL!$C$22, $C$13, 100%, $E$13)</f>
        <v>19.346499999999999</v>
      </c>
      <c r="G927" s="64">
        <f>19.3467 * CHOOSE(CONTROL!$C$22, $C$13, 100%, $E$13)</f>
        <v>19.346699999999998</v>
      </c>
      <c r="H927" s="64">
        <f>31.2031* CHOOSE(CONTROL!$C$22, $C$13, 100%, $E$13)</f>
        <v>31.203099999999999</v>
      </c>
      <c r="I927" s="64">
        <f>31.2033 * CHOOSE(CONTROL!$C$22, $C$13, 100%, $E$13)</f>
        <v>31.203299999999999</v>
      </c>
      <c r="J927" s="64">
        <f>19.3465 * CHOOSE(CONTROL!$C$22, $C$13, 100%, $E$13)</f>
        <v>19.346499999999999</v>
      </c>
      <c r="K927" s="64">
        <f>19.3467 * CHOOSE(CONTROL!$C$22, $C$13, 100%, $E$13)</f>
        <v>19.346699999999998</v>
      </c>
    </row>
    <row r="928" spans="1:11" ht="15">
      <c r="A928" s="13">
        <v>69884</v>
      </c>
      <c r="B928" s="63">
        <f>16.3267 * CHOOSE(CONTROL!$C$22, $C$13, 100%, $E$13)</f>
        <v>16.326699999999999</v>
      </c>
      <c r="C928" s="63">
        <f>16.3267 * CHOOSE(CONTROL!$C$22, $C$13, 100%, $E$13)</f>
        <v>16.326699999999999</v>
      </c>
      <c r="D928" s="63">
        <f>16.3667 * CHOOSE(CONTROL!$C$22, $C$13, 100%, $E$13)</f>
        <v>16.366700000000002</v>
      </c>
      <c r="E928" s="64">
        <f>19.4133 * CHOOSE(CONTROL!$C$22, $C$13, 100%, $E$13)</f>
        <v>19.4133</v>
      </c>
      <c r="F928" s="64">
        <f>19.4133 * CHOOSE(CONTROL!$C$22, $C$13, 100%, $E$13)</f>
        <v>19.4133</v>
      </c>
      <c r="G928" s="64">
        <f>19.4157 * CHOOSE(CONTROL!$C$22, $C$13, 100%, $E$13)</f>
        <v>19.415700000000001</v>
      </c>
      <c r="H928" s="64">
        <f>31.2681* CHOOSE(CONTROL!$C$22, $C$13, 100%, $E$13)</f>
        <v>31.2681</v>
      </c>
      <c r="I928" s="64">
        <f>31.2706 * CHOOSE(CONTROL!$C$22, $C$13, 100%, $E$13)</f>
        <v>31.270600000000002</v>
      </c>
      <c r="J928" s="64">
        <f>19.4133 * CHOOSE(CONTROL!$C$22, $C$13, 100%, $E$13)</f>
        <v>19.4133</v>
      </c>
      <c r="K928" s="64">
        <f>19.4157 * CHOOSE(CONTROL!$C$22, $C$13, 100%, $E$13)</f>
        <v>19.415700000000001</v>
      </c>
    </row>
    <row r="929" spans="1:11" ht="15">
      <c r="A929" s="13">
        <v>69915</v>
      </c>
      <c r="B929" s="63">
        <f>16.3328 * CHOOSE(CONTROL!$C$22, $C$13, 100%, $E$13)</f>
        <v>16.332799999999999</v>
      </c>
      <c r="C929" s="63">
        <f>16.3328 * CHOOSE(CONTROL!$C$22, $C$13, 100%, $E$13)</f>
        <v>16.332799999999999</v>
      </c>
      <c r="D929" s="63">
        <f>16.3728 * CHOOSE(CONTROL!$C$22, $C$13, 100%, $E$13)</f>
        <v>16.372800000000002</v>
      </c>
      <c r="E929" s="64">
        <f>19.3507 * CHOOSE(CONTROL!$C$22, $C$13, 100%, $E$13)</f>
        <v>19.3507</v>
      </c>
      <c r="F929" s="64">
        <f>19.3507 * CHOOSE(CONTROL!$C$22, $C$13, 100%, $E$13)</f>
        <v>19.3507</v>
      </c>
      <c r="G929" s="64">
        <f>19.3532 * CHOOSE(CONTROL!$C$22, $C$13, 100%, $E$13)</f>
        <v>19.353200000000001</v>
      </c>
      <c r="H929" s="64">
        <f>31.3333* CHOOSE(CONTROL!$C$22, $C$13, 100%, $E$13)</f>
        <v>31.333300000000001</v>
      </c>
      <c r="I929" s="64">
        <f>31.3357 * CHOOSE(CONTROL!$C$22, $C$13, 100%, $E$13)</f>
        <v>31.335699999999999</v>
      </c>
      <c r="J929" s="64">
        <f>19.3507 * CHOOSE(CONTROL!$C$22, $C$13, 100%, $E$13)</f>
        <v>19.3507</v>
      </c>
      <c r="K929" s="64">
        <f>19.3532 * CHOOSE(CONTROL!$C$22, $C$13, 100%, $E$13)</f>
        <v>19.353200000000001</v>
      </c>
    </row>
    <row r="930" spans="1:11" ht="15">
      <c r="A930" s="13">
        <v>69945</v>
      </c>
      <c r="B930" s="63">
        <f>16.5877 * CHOOSE(CONTROL!$C$22, $C$13, 100%, $E$13)</f>
        <v>16.587700000000002</v>
      </c>
      <c r="C930" s="63">
        <f>16.5877 * CHOOSE(CONTROL!$C$22, $C$13, 100%, $E$13)</f>
        <v>16.587700000000002</v>
      </c>
      <c r="D930" s="63">
        <f>16.6277 * CHOOSE(CONTROL!$C$22, $C$13, 100%, $E$13)</f>
        <v>16.627700000000001</v>
      </c>
      <c r="E930" s="64">
        <f>19.7178 * CHOOSE(CONTROL!$C$22, $C$13, 100%, $E$13)</f>
        <v>19.7178</v>
      </c>
      <c r="F930" s="64">
        <f>19.7178 * CHOOSE(CONTROL!$C$22, $C$13, 100%, $E$13)</f>
        <v>19.7178</v>
      </c>
      <c r="G930" s="64">
        <f>19.7202 * CHOOSE(CONTROL!$C$22, $C$13, 100%, $E$13)</f>
        <v>19.720199999999998</v>
      </c>
      <c r="H930" s="64">
        <f>31.3986* CHOOSE(CONTROL!$C$22, $C$13, 100%, $E$13)</f>
        <v>31.398599999999998</v>
      </c>
      <c r="I930" s="64">
        <f>31.401 * CHOOSE(CONTROL!$C$22, $C$13, 100%, $E$13)</f>
        <v>31.401</v>
      </c>
      <c r="J930" s="64">
        <f>19.7178 * CHOOSE(CONTROL!$C$22, $C$13, 100%, $E$13)</f>
        <v>19.7178</v>
      </c>
      <c r="K930" s="64">
        <f>19.7202 * CHOOSE(CONTROL!$C$22, $C$13, 100%, $E$13)</f>
        <v>19.720199999999998</v>
      </c>
    </row>
    <row r="931" spans="1:11" ht="15">
      <c r="A931" s="13">
        <v>69976</v>
      </c>
      <c r="B931" s="63">
        <f>16.5944 * CHOOSE(CONTROL!$C$22, $C$13, 100%, $E$13)</f>
        <v>16.5944</v>
      </c>
      <c r="C931" s="63">
        <f>16.5944 * CHOOSE(CONTROL!$C$22, $C$13, 100%, $E$13)</f>
        <v>16.5944</v>
      </c>
      <c r="D931" s="63">
        <f>16.6344 * CHOOSE(CONTROL!$C$22, $C$13, 100%, $E$13)</f>
        <v>16.634399999999999</v>
      </c>
      <c r="E931" s="64">
        <f>19.522 * CHOOSE(CONTROL!$C$22, $C$13, 100%, $E$13)</f>
        <v>19.521999999999998</v>
      </c>
      <c r="F931" s="64">
        <f>19.522 * CHOOSE(CONTROL!$C$22, $C$13, 100%, $E$13)</f>
        <v>19.521999999999998</v>
      </c>
      <c r="G931" s="64">
        <f>19.5245 * CHOOSE(CONTROL!$C$22, $C$13, 100%, $E$13)</f>
        <v>19.5245</v>
      </c>
      <c r="H931" s="64">
        <f>31.464* CHOOSE(CONTROL!$C$22, $C$13, 100%, $E$13)</f>
        <v>31.463999999999999</v>
      </c>
      <c r="I931" s="64">
        <f>31.4664 * CHOOSE(CONTROL!$C$22, $C$13, 100%, $E$13)</f>
        <v>31.4664</v>
      </c>
      <c r="J931" s="64">
        <f>19.522 * CHOOSE(CONTROL!$C$22, $C$13, 100%, $E$13)</f>
        <v>19.521999999999998</v>
      </c>
      <c r="K931" s="64">
        <f>19.5245 * CHOOSE(CONTROL!$C$22, $C$13, 100%, $E$13)</f>
        <v>19.5245</v>
      </c>
    </row>
    <row r="932" spans="1:11" ht="15">
      <c r="A932" s="13">
        <v>70007</v>
      </c>
      <c r="B932" s="63">
        <f>16.5914 * CHOOSE(CONTROL!$C$22, $C$13, 100%, $E$13)</f>
        <v>16.5914</v>
      </c>
      <c r="C932" s="63">
        <f>16.5914 * CHOOSE(CONTROL!$C$22, $C$13, 100%, $E$13)</f>
        <v>16.5914</v>
      </c>
      <c r="D932" s="63">
        <f>16.6313 * CHOOSE(CONTROL!$C$22, $C$13, 100%, $E$13)</f>
        <v>16.6313</v>
      </c>
      <c r="E932" s="64">
        <f>19.4976 * CHOOSE(CONTROL!$C$22, $C$13, 100%, $E$13)</f>
        <v>19.497599999999998</v>
      </c>
      <c r="F932" s="64">
        <f>19.4976 * CHOOSE(CONTROL!$C$22, $C$13, 100%, $E$13)</f>
        <v>19.497599999999998</v>
      </c>
      <c r="G932" s="64">
        <f>19.5001 * CHOOSE(CONTROL!$C$22, $C$13, 100%, $E$13)</f>
        <v>19.5001</v>
      </c>
      <c r="H932" s="64">
        <f>31.5295* CHOOSE(CONTROL!$C$22, $C$13, 100%, $E$13)</f>
        <v>31.529499999999999</v>
      </c>
      <c r="I932" s="64">
        <f>31.532 * CHOOSE(CONTROL!$C$22, $C$13, 100%, $E$13)</f>
        <v>31.532</v>
      </c>
      <c r="J932" s="64">
        <f>19.4976 * CHOOSE(CONTROL!$C$22, $C$13, 100%, $E$13)</f>
        <v>19.497599999999998</v>
      </c>
      <c r="K932" s="64">
        <f>19.5001 * CHOOSE(CONTROL!$C$22, $C$13, 100%, $E$13)</f>
        <v>19.5001</v>
      </c>
    </row>
    <row r="933" spans="1:11" ht="15">
      <c r="A933" s="13">
        <v>70037</v>
      </c>
      <c r="B933" s="63">
        <f>16.6276 * CHOOSE(CONTROL!$C$22, $C$13, 100%, $E$13)</f>
        <v>16.627600000000001</v>
      </c>
      <c r="C933" s="63">
        <f>16.6276 * CHOOSE(CONTROL!$C$22, $C$13, 100%, $E$13)</f>
        <v>16.627600000000001</v>
      </c>
      <c r="D933" s="63">
        <f>16.6476 * CHOOSE(CONTROL!$C$22, $C$13, 100%, $E$13)</f>
        <v>16.647600000000001</v>
      </c>
      <c r="E933" s="64">
        <f>19.5733 * CHOOSE(CONTROL!$C$22, $C$13, 100%, $E$13)</f>
        <v>19.5733</v>
      </c>
      <c r="F933" s="64">
        <f>19.5733 * CHOOSE(CONTROL!$C$22, $C$13, 100%, $E$13)</f>
        <v>19.5733</v>
      </c>
      <c r="G933" s="64">
        <f>19.5735 * CHOOSE(CONTROL!$C$22, $C$13, 100%, $E$13)</f>
        <v>19.573499999999999</v>
      </c>
      <c r="H933" s="64">
        <f>31.5952* CHOOSE(CONTROL!$C$22, $C$13, 100%, $E$13)</f>
        <v>31.595199999999998</v>
      </c>
      <c r="I933" s="64">
        <f>31.5954 * CHOOSE(CONTROL!$C$22, $C$13, 100%, $E$13)</f>
        <v>31.595400000000001</v>
      </c>
      <c r="J933" s="64">
        <f>19.5733 * CHOOSE(CONTROL!$C$22, $C$13, 100%, $E$13)</f>
        <v>19.5733</v>
      </c>
      <c r="K933" s="64">
        <f>19.5735 * CHOOSE(CONTROL!$C$22, $C$13, 100%, $E$13)</f>
        <v>19.573499999999999</v>
      </c>
    </row>
    <row r="934" spans="1:11" ht="15">
      <c r="A934" s="13">
        <v>70068</v>
      </c>
      <c r="B934" s="63">
        <f>16.6307 * CHOOSE(CONTROL!$C$22, $C$13, 100%, $E$13)</f>
        <v>16.630700000000001</v>
      </c>
      <c r="C934" s="63">
        <f>16.6307 * CHOOSE(CONTROL!$C$22, $C$13, 100%, $E$13)</f>
        <v>16.630700000000001</v>
      </c>
      <c r="D934" s="63">
        <f>16.6506 * CHOOSE(CONTROL!$C$22, $C$13, 100%, $E$13)</f>
        <v>16.650600000000001</v>
      </c>
      <c r="E934" s="64">
        <f>19.6199 * CHOOSE(CONTROL!$C$22, $C$13, 100%, $E$13)</f>
        <v>19.619900000000001</v>
      </c>
      <c r="F934" s="64">
        <f>19.6199 * CHOOSE(CONTROL!$C$22, $C$13, 100%, $E$13)</f>
        <v>19.619900000000001</v>
      </c>
      <c r="G934" s="64">
        <f>19.6201 * CHOOSE(CONTROL!$C$22, $C$13, 100%, $E$13)</f>
        <v>19.620100000000001</v>
      </c>
      <c r="H934" s="64">
        <f>31.661* CHOOSE(CONTROL!$C$22, $C$13, 100%, $E$13)</f>
        <v>31.661000000000001</v>
      </c>
      <c r="I934" s="64">
        <f>31.6612 * CHOOSE(CONTROL!$C$22, $C$13, 100%, $E$13)</f>
        <v>31.661200000000001</v>
      </c>
      <c r="J934" s="64">
        <f>19.6199 * CHOOSE(CONTROL!$C$22, $C$13, 100%, $E$13)</f>
        <v>19.619900000000001</v>
      </c>
      <c r="K934" s="64">
        <f>19.6201 * CHOOSE(CONTROL!$C$22, $C$13, 100%, $E$13)</f>
        <v>19.620100000000001</v>
      </c>
    </row>
    <row r="935" spans="1:11" ht="15">
      <c r="A935" s="13">
        <v>70098</v>
      </c>
      <c r="B935" s="63">
        <f>16.6307 * CHOOSE(CONTROL!$C$22, $C$13, 100%, $E$13)</f>
        <v>16.630700000000001</v>
      </c>
      <c r="C935" s="63">
        <f>16.6307 * CHOOSE(CONTROL!$C$22, $C$13, 100%, $E$13)</f>
        <v>16.630700000000001</v>
      </c>
      <c r="D935" s="63">
        <f>16.6506 * CHOOSE(CONTROL!$C$22, $C$13, 100%, $E$13)</f>
        <v>16.650600000000001</v>
      </c>
      <c r="E935" s="64">
        <f>19.5086 * CHOOSE(CONTROL!$C$22, $C$13, 100%, $E$13)</f>
        <v>19.508600000000001</v>
      </c>
      <c r="F935" s="64">
        <f>19.5086 * CHOOSE(CONTROL!$C$22, $C$13, 100%, $E$13)</f>
        <v>19.508600000000001</v>
      </c>
      <c r="G935" s="64">
        <f>19.5088 * CHOOSE(CONTROL!$C$22, $C$13, 100%, $E$13)</f>
        <v>19.508800000000001</v>
      </c>
      <c r="H935" s="64">
        <f>31.727* CHOOSE(CONTROL!$C$22, $C$13, 100%, $E$13)</f>
        <v>31.727</v>
      </c>
      <c r="I935" s="64">
        <f>31.7272 * CHOOSE(CONTROL!$C$22, $C$13, 100%, $E$13)</f>
        <v>31.7272</v>
      </c>
      <c r="J935" s="64">
        <f>19.5086 * CHOOSE(CONTROL!$C$22, $C$13, 100%, $E$13)</f>
        <v>19.508600000000001</v>
      </c>
      <c r="K935" s="64">
        <f>19.5088 * CHOOSE(CONTROL!$C$22, $C$13, 100%, $E$13)</f>
        <v>19.508800000000001</v>
      </c>
    </row>
    <row r="936" spans="1:11" ht="15">
      <c r="A936" s="13">
        <v>70129</v>
      </c>
      <c r="B936" s="63">
        <f>16.57 * CHOOSE(CONTROL!$C$22, $C$13, 100%, $E$13)</f>
        <v>16.57</v>
      </c>
      <c r="C936" s="63">
        <f>16.57 * CHOOSE(CONTROL!$C$22, $C$13, 100%, $E$13)</f>
        <v>16.57</v>
      </c>
      <c r="D936" s="63">
        <f>16.59 * CHOOSE(CONTROL!$C$22, $C$13, 100%, $E$13)</f>
        <v>16.59</v>
      </c>
      <c r="E936" s="64">
        <f>19.5138 * CHOOSE(CONTROL!$C$22, $C$13, 100%, $E$13)</f>
        <v>19.5138</v>
      </c>
      <c r="F936" s="64">
        <f>19.5138 * CHOOSE(CONTROL!$C$22, $C$13, 100%, $E$13)</f>
        <v>19.5138</v>
      </c>
      <c r="G936" s="64">
        <f>19.5139 * CHOOSE(CONTROL!$C$22, $C$13, 100%, $E$13)</f>
        <v>19.5139</v>
      </c>
      <c r="H936" s="64">
        <f>31.4548* CHOOSE(CONTROL!$C$22, $C$13, 100%, $E$13)</f>
        <v>31.454799999999999</v>
      </c>
      <c r="I936" s="64">
        <f>31.455 * CHOOSE(CONTROL!$C$22, $C$13, 100%, $E$13)</f>
        <v>31.454999999999998</v>
      </c>
      <c r="J936" s="64">
        <f>19.5138 * CHOOSE(CONTROL!$C$22, $C$13, 100%, $E$13)</f>
        <v>19.5138</v>
      </c>
      <c r="K936" s="64">
        <f>19.5139 * CHOOSE(CONTROL!$C$22, $C$13, 100%, $E$13)</f>
        <v>19.5139</v>
      </c>
    </row>
    <row r="937" spans="1:11" ht="15">
      <c r="A937" s="13">
        <v>70160</v>
      </c>
      <c r="B937" s="63">
        <f>16.567 * CHOOSE(CONTROL!$C$22, $C$13, 100%, $E$13)</f>
        <v>16.567</v>
      </c>
      <c r="C937" s="63">
        <f>16.567 * CHOOSE(CONTROL!$C$22, $C$13, 100%, $E$13)</f>
        <v>16.567</v>
      </c>
      <c r="D937" s="63">
        <f>16.5869 * CHOOSE(CONTROL!$C$22, $C$13, 100%, $E$13)</f>
        <v>16.5869</v>
      </c>
      <c r="E937" s="64">
        <f>19.298 * CHOOSE(CONTROL!$C$22, $C$13, 100%, $E$13)</f>
        <v>19.297999999999998</v>
      </c>
      <c r="F937" s="64">
        <f>19.298 * CHOOSE(CONTROL!$C$22, $C$13, 100%, $E$13)</f>
        <v>19.297999999999998</v>
      </c>
      <c r="G937" s="64">
        <f>19.2982 * CHOOSE(CONTROL!$C$22, $C$13, 100%, $E$13)</f>
        <v>19.298200000000001</v>
      </c>
      <c r="H937" s="64">
        <f>31.5204* CHOOSE(CONTROL!$C$22, $C$13, 100%, $E$13)</f>
        <v>31.520399999999999</v>
      </c>
      <c r="I937" s="64">
        <f>31.5205 * CHOOSE(CONTROL!$C$22, $C$13, 100%, $E$13)</f>
        <v>31.520499999999998</v>
      </c>
      <c r="J937" s="64">
        <f>19.298 * CHOOSE(CONTROL!$C$22, $C$13, 100%, $E$13)</f>
        <v>19.297999999999998</v>
      </c>
      <c r="K937" s="64">
        <f>19.2982 * CHOOSE(CONTROL!$C$22, $C$13, 100%, $E$13)</f>
        <v>19.298200000000001</v>
      </c>
    </row>
    <row r="938" spans="1:11" ht="15">
      <c r="A938" s="13">
        <v>70189</v>
      </c>
      <c r="B938" s="63">
        <f>16.5639 * CHOOSE(CONTROL!$C$22, $C$13, 100%, $E$13)</f>
        <v>16.5639</v>
      </c>
      <c r="C938" s="63">
        <f>16.5639 * CHOOSE(CONTROL!$C$22, $C$13, 100%, $E$13)</f>
        <v>16.5639</v>
      </c>
      <c r="D938" s="63">
        <f>16.5839 * CHOOSE(CONTROL!$C$22, $C$13, 100%, $E$13)</f>
        <v>16.5839</v>
      </c>
      <c r="E938" s="64">
        <f>19.4643 * CHOOSE(CONTROL!$C$22, $C$13, 100%, $E$13)</f>
        <v>19.464300000000001</v>
      </c>
      <c r="F938" s="64">
        <f>19.4643 * CHOOSE(CONTROL!$C$22, $C$13, 100%, $E$13)</f>
        <v>19.464300000000001</v>
      </c>
      <c r="G938" s="64">
        <f>19.4645 * CHOOSE(CONTROL!$C$22, $C$13, 100%, $E$13)</f>
        <v>19.464500000000001</v>
      </c>
      <c r="H938" s="64">
        <f>31.586* CHOOSE(CONTROL!$C$22, $C$13, 100%, $E$13)</f>
        <v>31.585999999999999</v>
      </c>
      <c r="I938" s="64">
        <f>31.5862 * CHOOSE(CONTROL!$C$22, $C$13, 100%, $E$13)</f>
        <v>31.586200000000002</v>
      </c>
      <c r="J938" s="64">
        <f>19.4643 * CHOOSE(CONTROL!$C$22, $C$13, 100%, $E$13)</f>
        <v>19.464300000000001</v>
      </c>
      <c r="K938" s="64">
        <f>19.4645 * CHOOSE(CONTROL!$C$22, $C$13, 100%, $E$13)</f>
        <v>19.464500000000001</v>
      </c>
    </row>
    <row r="939" spans="1:11" ht="15">
      <c r="A939" s="13">
        <v>70220</v>
      </c>
      <c r="B939" s="63">
        <f>16.5723 * CHOOSE(CONTROL!$C$22, $C$13, 100%, $E$13)</f>
        <v>16.572299999999998</v>
      </c>
      <c r="C939" s="63">
        <f>16.5723 * CHOOSE(CONTROL!$C$22, $C$13, 100%, $E$13)</f>
        <v>16.572299999999998</v>
      </c>
      <c r="D939" s="63">
        <f>16.5922 * CHOOSE(CONTROL!$C$22, $C$13, 100%, $E$13)</f>
        <v>16.592199999999998</v>
      </c>
      <c r="E939" s="64">
        <f>19.6409 * CHOOSE(CONTROL!$C$22, $C$13, 100%, $E$13)</f>
        <v>19.640899999999998</v>
      </c>
      <c r="F939" s="64">
        <f>19.6409 * CHOOSE(CONTROL!$C$22, $C$13, 100%, $E$13)</f>
        <v>19.640899999999998</v>
      </c>
      <c r="G939" s="64">
        <f>19.6411 * CHOOSE(CONTROL!$C$22, $C$13, 100%, $E$13)</f>
        <v>19.641100000000002</v>
      </c>
      <c r="H939" s="64">
        <f>31.6518* CHOOSE(CONTROL!$C$22, $C$13, 100%, $E$13)</f>
        <v>31.651800000000001</v>
      </c>
      <c r="I939" s="64">
        <f>31.652 * CHOOSE(CONTROL!$C$22, $C$13, 100%, $E$13)</f>
        <v>31.652000000000001</v>
      </c>
      <c r="J939" s="64">
        <f>19.6409 * CHOOSE(CONTROL!$C$22, $C$13, 100%, $E$13)</f>
        <v>19.640899999999998</v>
      </c>
      <c r="K939" s="64">
        <f>19.6411 * CHOOSE(CONTROL!$C$22, $C$13, 100%, $E$13)</f>
        <v>19.641100000000002</v>
      </c>
    </row>
    <row r="940" spans="1:11" ht="15">
      <c r="A940" s="13">
        <v>70250</v>
      </c>
      <c r="B940" s="63">
        <f>16.5723 * CHOOSE(CONTROL!$C$22, $C$13, 100%, $E$13)</f>
        <v>16.572299999999998</v>
      </c>
      <c r="C940" s="63">
        <f>16.5723 * CHOOSE(CONTROL!$C$22, $C$13, 100%, $E$13)</f>
        <v>16.572299999999998</v>
      </c>
      <c r="D940" s="63">
        <f>16.6122 * CHOOSE(CONTROL!$C$22, $C$13, 100%, $E$13)</f>
        <v>16.612200000000001</v>
      </c>
      <c r="E940" s="64">
        <f>19.7087 * CHOOSE(CONTROL!$C$22, $C$13, 100%, $E$13)</f>
        <v>19.7087</v>
      </c>
      <c r="F940" s="64">
        <f>19.7087 * CHOOSE(CONTROL!$C$22, $C$13, 100%, $E$13)</f>
        <v>19.7087</v>
      </c>
      <c r="G940" s="64">
        <f>19.7112 * CHOOSE(CONTROL!$C$22, $C$13, 100%, $E$13)</f>
        <v>19.711200000000002</v>
      </c>
      <c r="H940" s="64">
        <f>31.7178* CHOOSE(CONTROL!$C$22, $C$13, 100%, $E$13)</f>
        <v>31.7178</v>
      </c>
      <c r="I940" s="64">
        <f>31.7202 * CHOOSE(CONTROL!$C$22, $C$13, 100%, $E$13)</f>
        <v>31.720199999999998</v>
      </c>
      <c r="J940" s="64">
        <f>19.7087 * CHOOSE(CONTROL!$C$22, $C$13, 100%, $E$13)</f>
        <v>19.7087</v>
      </c>
      <c r="K940" s="64">
        <f>19.7112 * CHOOSE(CONTROL!$C$22, $C$13, 100%, $E$13)</f>
        <v>19.711200000000002</v>
      </c>
    </row>
    <row r="941" spans="1:11" ht="15">
      <c r="A941" s="13">
        <v>70281</v>
      </c>
      <c r="B941" s="63">
        <f>16.5784 * CHOOSE(CONTROL!$C$22, $C$13, 100%, $E$13)</f>
        <v>16.578399999999998</v>
      </c>
      <c r="C941" s="63">
        <f>16.5784 * CHOOSE(CONTROL!$C$22, $C$13, 100%, $E$13)</f>
        <v>16.578399999999998</v>
      </c>
      <c r="D941" s="63">
        <f>16.6183 * CHOOSE(CONTROL!$C$22, $C$13, 100%, $E$13)</f>
        <v>16.618300000000001</v>
      </c>
      <c r="E941" s="64">
        <f>19.6452 * CHOOSE(CONTROL!$C$22, $C$13, 100%, $E$13)</f>
        <v>19.645199999999999</v>
      </c>
      <c r="F941" s="64">
        <f>19.6452 * CHOOSE(CONTROL!$C$22, $C$13, 100%, $E$13)</f>
        <v>19.645199999999999</v>
      </c>
      <c r="G941" s="64">
        <f>19.6476 * CHOOSE(CONTROL!$C$22, $C$13, 100%, $E$13)</f>
        <v>19.647600000000001</v>
      </c>
      <c r="H941" s="64">
        <f>31.7838* CHOOSE(CONTROL!$C$22, $C$13, 100%, $E$13)</f>
        <v>31.783799999999999</v>
      </c>
      <c r="I941" s="64">
        <f>31.7863 * CHOOSE(CONTROL!$C$22, $C$13, 100%, $E$13)</f>
        <v>31.786300000000001</v>
      </c>
      <c r="J941" s="64">
        <f>19.6452 * CHOOSE(CONTROL!$C$22, $C$13, 100%, $E$13)</f>
        <v>19.645199999999999</v>
      </c>
      <c r="K941" s="64">
        <f>19.6476 * CHOOSE(CONTROL!$C$22, $C$13, 100%, $E$13)</f>
        <v>19.647600000000001</v>
      </c>
    </row>
    <row r="942" spans="1:11" ht="15">
      <c r="A942" s="13">
        <v>70311</v>
      </c>
      <c r="B942" s="63">
        <f>16.837 * CHOOSE(CONTROL!$C$22, $C$13, 100%, $E$13)</f>
        <v>16.837</v>
      </c>
      <c r="C942" s="63">
        <f>16.837 * CHOOSE(CONTROL!$C$22, $C$13, 100%, $E$13)</f>
        <v>16.837</v>
      </c>
      <c r="D942" s="63">
        <f>16.8769 * CHOOSE(CONTROL!$C$22, $C$13, 100%, $E$13)</f>
        <v>16.876899999999999</v>
      </c>
      <c r="E942" s="64">
        <f>20.0177 * CHOOSE(CONTROL!$C$22, $C$13, 100%, $E$13)</f>
        <v>20.017700000000001</v>
      </c>
      <c r="F942" s="64">
        <f>20.0177 * CHOOSE(CONTROL!$C$22, $C$13, 100%, $E$13)</f>
        <v>20.017700000000001</v>
      </c>
      <c r="G942" s="64">
        <f>20.0201 * CHOOSE(CONTROL!$C$22, $C$13, 100%, $E$13)</f>
        <v>20.020099999999999</v>
      </c>
      <c r="H942" s="64">
        <f>31.8501* CHOOSE(CONTROL!$C$22, $C$13, 100%, $E$13)</f>
        <v>31.850100000000001</v>
      </c>
      <c r="I942" s="64">
        <f>31.8525 * CHOOSE(CONTROL!$C$22, $C$13, 100%, $E$13)</f>
        <v>31.852499999999999</v>
      </c>
      <c r="J942" s="64">
        <f>20.0177 * CHOOSE(CONTROL!$C$22, $C$13, 100%, $E$13)</f>
        <v>20.017700000000001</v>
      </c>
      <c r="K942" s="64">
        <f>20.0201 * CHOOSE(CONTROL!$C$22, $C$13, 100%, $E$13)</f>
        <v>20.020099999999999</v>
      </c>
    </row>
    <row r="943" spans="1:11" ht="15">
      <c r="A943" s="13">
        <v>70342</v>
      </c>
      <c r="B943" s="63">
        <f>16.8436 * CHOOSE(CONTROL!$C$22, $C$13, 100%, $E$13)</f>
        <v>16.843599999999999</v>
      </c>
      <c r="C943" s="63">
        <f>16.8436 * CHOOSE(CONTROL!$C$22, $C$13, 100%, $E$13)</f>
        <v>16.843599999999999</v>
      </c>
      <c r="D943" s="63">
        <f>16.8836 * CHOOSE(CONTROL!$C$22, $C$13, 100%, $E$13)</f>
        <v>16.883600000000001</v>
      </c>
      <c r="E943" s="64">
        <f>19.8189 * CHOOSE(CONTROL!$C$22, $C$13, 100%, $E$13)</f>
        <v>19.818899999999999</v>
      </c>
      <c r="F943" s="64">
        <f>19.8189 * CHOOSE(CONTROL!$C$22, $C$13, 100%, $E$13)</f>
        <v>19.818899999999999</v>
      </c>
      <c r="G943" s="64">
        <f>19.8213 * CHOOSE(CONTROL!$C$22, $C$13, 100%, $E$13)</f>
        <v>19.821300000000001</v>
      </c>
      <c r="H943" s="64">
        <f>31.9164* CHOOSE(CONTROL!$C$22, $C$13, 100%, $E$13)</f>
        <v>31.916399999999999</v>
      </c>
      <c r="I943" s="64">
        <f>31.9189 * CHOOSE(CONTROL!$C$22, $C$13, 100%, $E$13)</f>
        <v>31.918900000000001</v>
      </c>
      <c r="J943" s="64">
        <f>19.8189 * CHOOSE(CONTROL!$C$22, $C$13, 100%, $E$13)</f>
        <v>19.818899999999999</v>
      </c>
      <c r="K943" s="64">
        <f>19.8213 * CHOOSE(CONTROL!$C$22, $C$13, 100%, $E$13)</f>
        <v>19.821300000000001</v>
      </c>
    </row>
    <row r="944" spans="1:11" ht="15">
      <c r="A944" s="13">
        <v>70373</v>
      </c>
      <c r="B944" s="63">
        <f>16.8406 * CHOOSE(CONTROL!$C$22, $C$13, 100%, $E$13)</f>
        <v>16.840599999999998</v>
      </c>
      <c r="C944" s="63">
        <f>16.8406 * CHOOSE(CONTROL!$C$22, $C$13, 100%, $E$13)</f>
        <v>16.840599999999998</v>
      </c>
      <c r="D944" s="63">
        <f>16.8805 * CHOOSE(CONTROL!$C$22, $C$13, 100%, $E$13)</f>
        <v>16.880500000000001</v>
      </c>
      <c r="E944" s="64">
        <f>19.7941 * CHOOSE(CONTROL!$C$22, $C$13, 100%, $E$13)</f>
        <v>19.7941</v>
      </c>
      <c r="F944" s="64">
        <f>19.7941 * CHOOSE(CONTROL!$C$22, $C$13, 100%, $E$13)</f>
        <v>19.7941</v>
      </c>
      <c r="G944" s="64">
        <f>19.7966 * CHOOSE(CONTROL!$C$22, $C$13, 100%, $E$13)</f>
        <v>19.796600000000002</v>
      </c>
      <c r="H944" s="64">
        <f>31.9829* CHOOSE(CONTROL!$C$22, $C$13, 100%, $E$13)</f>
        <v>31.982900000000001</v>
      </c>
      <c r="I944" s="64">
        <f>31.9854 * CHOOSE(CONTROL!$C$22, $C$13, 100%, $E$13)</f>
        <v>31.985399999999998</v>
      </c>
      <c r="J944" s="64">
        <f>19.7941 * CHOOSE(CONTROL!$C$22, $C$13, 100%, $E$13)</f>
        <v>19.7941</v>
      </c>
      <c r="K944" s="64">
        <f>19.7966 * CHOOSE(CONTROL!$C$22, $C$13, 100%, $E$13)</f>
        <v>19.796600000000002</v>
      </c>
    </row>
    <row r="945" spans="1:11" ht="15">
      <c r="A945" s="13">
        <v>70403</v>
      </c>
      <c r="B945" s="63">
        <f>16.8777 * CHOOSE(CONTROL!$C$22, $C$13, 100%, $E$13)</f>
        <v>16.877700000000001</v>
      </c>
      <c r="C945" s="63">
        <f>16.8777 * CHOOSE(CONTROL!$C$22, $C$13, 100%, $E$13)</f>
        <v>16.877700000000001</v>
      </c>
      <c r="D945" s="63">
        <f>16.8976 * CHOOSE(CONTROL!$C$22, $C$13, 100%, $E$13)</f>
        <v>16.897600000000001</v>
      </c>
      <c r="E945" s="64">
        <f>19.8711 * CHOOSE(CONTROL!$C$22, $C$13, 100%, $E$13)</f>
        <v>19.871099999999998</v>
      </c>
      <c r="F945" s="64">
        <f>19.8711 * CHOOSE(CONTROL!$C$22, $C$13, 100%, $E$13)</f>
        <v>19.871099999999998</v>
      </c>
      <c r="G945" s="64">
        <f>19.8713 * CHOOSE(CONTROL!$C$22, $C$13, 100%, $E$13)</f>
        <v>19.871300000000002</v>
      </c>
      <c r="H945" s="64">
        <f>32.0495* CHOOSE(CONTROL!$C$22, $C$13, 100%, $E$13)</f>
        <v>32.049500000000002</v>
      </c>
      <c r="I945" s="64">
        <f>32.0497 * CHOOSE(CONTROL!$C$22, $C$13, 100%, $E$13)</f>
        <v>32.049700000000001</v>
      </c>
      <c r="J945" s="64">
        <f>19.8711 * CHOOSE(CONTROL!$C$22, $C$13, 100%, $E$13)</f>
        <v>19.871099999999998</v>
      </c>
      <c r="K945" s="64">
        <f>19.8713 * CHOOSE(CONTROL!$C$22, $C$13, 100%, $E$13)</f>
        <v>19.871300000000002</v>
      </c>
    </row>
    <row r="946" spans="1:11" ht="15">
      <c r="A946" s="13">
        <v>70434</v>
      </c>
      <c r="B946" s="63">
        <f>16.8807 * CHOOSE(CONTROL!$C$22, $C$13, 100%, $E$13)</f>
        <v>16.880700000000001</v>
      </c>
      <c r="C946" s="63">
        <f>16.8807 * CHOOSE(CONTROL!$C$22, $C$13, 100%, $E$13)</f>
        <v>16.880700000000001</v>
      </c>
      <c r="D946" s="63">
        <f>16.9007 * CHOOSE(CONTROL!$C$22, $C$13, 100%, $E$13)</f>
        <v>16.900700000000001</v>
      </c>
      <c r="E946" s="64">
        <f>19.9185 * CHOOSE(CONTROL!$C$22, $C$13, 100%, $E$13)</f>
        <v>19.918500000000002</v>
      </c>
      <c r="F946" s="64">
        <f>19.9185 * CHOOSE(CONTROL!$C$22, $C$13, 100%, $E$13)</f>
        <v>19.918500000000002</v>
      </c>
      <c r="G946" s="64">
        <f>19.9187 * CHOOSE(CONTROL!$C$22, $C$13, 100%, $E$13)</f>
        <v>19.918700000000001</v>
      </c>
      <c r="H946" s="64">
        <f>32.1163* CHOOSE(CONTROL!$C$22, $C$13, 100%, $E$13)</f>
        <v>32.116300000000003</v>
      </c>
      <c r="I946" s="64">
        <f>32.1165 * CHOOSE(CONTROL!$C$22, $C$13, 100%, $E$13)</f>
        <v>32.116500000000002</v>
      </c>
      <c r="J946" s="64">
        <f>19.9185 * CHOOSE(CONTROL!$C$22, $C$13, 100%, $E$13)</f>
        <v>19.918500000000002</v>
      </c>
      <c r="K946" s="64">
        <f>19.9187 * CHOOSE(CONTROL!$C$22, $C$13, 100%, $E$13)</f>
        <v>19.918700000000001</v>
      </c>
    </row>
    <row r="947" spans="1:11" ht="15">
      <c r="A947" s="13">
        <v>70464</v>
      </c>
      <c r="B947" s="63">
        <f>16.8807 * CHOOSE(CONTROL!$C$22, $C$13, 100%, $E$13)</f>
        <v>16.880700000000001</v>
      </c>
      <c r="C947" s="63">
        <f>16.8807 * CHOOSE(CONTROL!$C$22, $C$13, 100%, $E$13)</f>
        <v>16.880700000000001</v>
      </c>
      <c r="D947" s="63">
        <f>16.9007 * CHOOSE(CONTROL!$C$22, $C$13, 100%, $E$13)</f>
        <v>16.900700000000001</v>
      </c>
      <c r="E947" s="64">
        <f>19.8054 * CHOOSE(CONTROL!$C$22, $C$13, 100%, $E$13)</f>
        <v>19.805399999999999</v>
      </c>
      <c r="F947" s="64">
        <f>19.8054 * CHOOSE(CONTROL!$C$22, $C$13, 100%, $E$13)</f>
        <v>19.805399999999999</v>
      </c>
      <c r="G947" s="64">
        <f>19.8056 * CHOOSE(CONTROL!$C$22, $C$13, 100%, $E$13)</f>
        <v>19.805599999999998</v>
      </c>
      <c r="H947" s="64">
        <f>32.1832* CHOOSE(CONTROL!$C$22, $C$13, 100%, $E$13)</f>
        <v>32.183199999999999</v>
      </c>
      <c r="I947" s="64">
        <f>32.1834 * CHOOSE(CONTROL!$C$22, $C$13, 100%, $E$13)</f>
        <v>32.183399999999999</v>
      </c>
      <c r="J947" s="64">
        <f>19.8054 * CHOOSE(CONTROL!$C$22, $C$13, 100%, $E$13)</f>
        <v>19.805399999999999</v>
      </c>
      <c r="K947" s="64">
        <f>19.8056 * CHOOSE(CONTROL!$C$22, $C$13, 100%, $E$13)</f>
        <v>19.805599999999998</v>
      </c>
    </row>
    <row r="948" spans="1:11" ht="15">
      <c r="A948" s="13">
        <v>70495</v>
      </c>
      <c r="B948" s="63">
        <f>16.8153 * CHOOSE(CONTROL!$C$22, $C$13, 100%, $E$13)</f>
        <v>16.815300000000001</v>
      </c>
      <c r="C948" s="63">
        <f>16.8153 * CHOOSE(CONTROL!$C$22, $C$13, 100%, $E$13)</f>
        <v>16.815300000000001</v>
      </c>
      <c r="D948" s="63">
        <f>16.8353 * CHOOSE(CONTROL!$C$22, $C$13, 100%, $E$13)</f>
        <v>16.8353</v>
      </c>
      <c r="E948" s="64">
        <f>19.8062 * CHOOSE(CONTROL!$C$22, $C$13, 100%, $E$13)</f>
        <v>19.8062</v>
      </c>
      <c r="F948" s="64">
        <f>19.8062 * CHOOSE(CONTROL!$C$22, $C$13, 100%, $E$13)</f>
        <v>19.8062</v>
      </c>
      <c r="G948" s="64">
        <f>19.8064 * CHOOSE(CONTROL!$C$22, $C$13, 100%, $E$13)</f>
        <v>19.8064</v>
      </c>
      <c r="H948" s="64">
        <f>31.9007* CHOOSE(CONTROL!$C$22, $C$13, 100%, $E$13)</f>
        <v>31.900700000000001</v>
      </c>
      <c r="I948" s="64">
        <f>31.9009 * CHOOSE(CONTROL!$C$22, $C$13, 100%, $E$13)</f>
        <v>31.9009</v>
      </c>
      <c r="J948" s="64">
        <f>19.8062 * CHOOSE(CONTROL!$C$22, $C$13, 100%, $E$13)</f>
        <v>19.8062</v>
      </c>
      <c r="K948" s="64">
        <f>19.8064 * CHOOSE(CONTROL!$C$22, $C$13, 100%, $E$13)</f>
        <v>19.8064</v>
      </c>
    </row>
    <row r="949" spans="1:11" ht="15">
      <c r="A949" s="13">
        <v>70526</v>
      </c>
      <c r="B949" s="63">
        <f>16.8123 * CHOOSE(CONTROL!$C$22, $C$13, 100%, $E$13)</f>
        <v>16.8123</v>
      </c>
      <c r="C949" s="63">
        <f>16.8123 * CHOOSE(CONTROL!$C$22, $C$13, 100%, $E$13)</f>
        <v>16.8123</v>
      </c>
      <c r="D949" s="63">
        <f>16.8323 * CHOOSE(CONTROL!$C$22, $C$13, 100%, $E$13)</f>
        <v>16.8323</v>
      </c>
      <c r="E949" s="64">
        <f>19.5872 * CHOOSE(CONTROL!$C$22, $C$13, 100%, $E$13)</f>
        <v>19.587199999999999</v>
      </c>
      <c r="F949" s="64">
        <f>19.5872 * CHOOSE(CONTROL!$C$22, $C$13, 100%, $E$13)</f>
        <v>19.587199999999999</v>
      </c>
      <c r="G949" s="64">
        <f>19.5874 * CHOOSE(CONTROL!$C$22, $C$13, 100%, $E$13)</f>
        <v>19.587399999999999</v>
      </c>
      <c r="H949" s="64">
        <f>31.9672* CHOOSE(CONTROL!$C$22, $C$13, 100%, $E$13)</f>
        <v>31.967199999999998</v>
      </c>
      <c r="I949" s="64">
        <f>31.9674 * CHOOSE(CONTROL!$C$22, $C$13, 100%, $E$13)</f>
        <v>31.967400000000001</v>
      </c>
      <c r="J949" s="64">
        <f>19.5872 * CHOOSE(CONTROL!$C$22, $C$13, 100%, $E$13)</f>
        <v>19.587199999999999</v>
      </c>
      <c r="K949" s="64">
        <f>19.5874 * CHOOSE(CONTROL!$C$22, $C$13, 100%, $E$13)</f>
        <v>19.587399999999999</v>
      </c>
    </row>
    <row r="950" spans="1:11" ht="15">
      <c r="A950" s="13">
        <v>70554</v>
      </c>
      <c r="B950" s="63">
        <f>16.8092 * CHOOSE(CONTROL!$C$22, $C$13, 100%, $E$13)</f>
        <v>16.809200000000001</v>
      </c>
      <c r="C950" s="63">
        <f>16.8092 * CHOOSE(CONTROL!$C$22, $C$13, 100%, $E$13)</f>
        <v>16.809200000000001</v>
      </c>
      <c r="D950" s="63">
        <f>16.8292 * CHOOSE(CONTROL!$C$22, $C$13, 100%, $E$13)</f>
        <v>16.8292</v>
      </c>
      <c r="E950" s="64">
        <f>19.756 * CHOOSE(CONTROL!$C$22, $C$13, 100%, $E$13)</f>
        <v>19.756</v>
      </c>
      <c r="F950" s="64">
        <f>19.756 * CHOOSE(CONTROL!$C$22, $C$13, 100%, $E$13)</f>
        <v>19.756</v>
      </c>
      <c r="G950" s="64">
        <f>19.7562 * CHOOSE(CONTROL!$C$22, $C$13, 100%, $E$13)</f>
        <v>19.7562</v>
      </c>
      <c r="H950" s="64">
        <f>32.0338* CHOOSE(CONTROL!$C$22, $C$13, 100%, $E$13)</f>
        <v>32.033799999999999</v>
      </c>
      <c r="I950" s="64">
        <f>32.034 * CHOOSE(CONTROL!$C$22, $C$13, 100%, $E$13)</f>
        <v>32.033999999999999</v>
      </c>
      <c r="J950" s="64">
        <f>19.756 * CHOOSE(CONTROL!$C$22, $C$13, 100%, $E$13)</f>
        <v>19.756</v>
      </c>
      <c r="K950" s="64">
        <f>19.7562 * CHOOSE(CONTROL!$C$22, $C$13, 100%, $E$13)</f>
        <v>19.7562</v>
      </c>
    </row>
    <row r="951" spans="1:11" ht="15">
      <c r="A951" s="13">
        <v>70585</v>
      </c>
      <c r="B951" s="63">
        <f>16.8178 * CHOOSE(CONTROL!$C$22, $C$13, 100%, $E$13)</f>
        <v>16.817799999999998</v>
      </c>
      <c r="C951" s="63">
        <f>16.8178 * CHOOSE(CONTROL!$C$22, $C$13, 100%, $E$13)</f>
        <v>16.817799999999998</v>
      </c>
      <c r="D951" s="63">
        <f>16.8378 * CHOOSE(CONTROL!$C$22, $C$13, 100%, $E$13)</f>
        <v>16.837800000000001</v>
      </c>
      <c r="E951" s="64">
        <f>19.9354 * CHOOSE(CONTROL!$C$22, $C$13, 100%, $E$13)</f>
        <v>19.935400000000001</v>
      </c>
      <c r="F951" s="64">
        <f>19.9354 * CHOOSE(CONTROL!$C$22, $C$13, 100%, $E$13)</f>
        <v>19.935400000000001</v>
      </c>
      <c r="G951" s="64">
        <f>19.9356 * CHOOSE(CONTROL!$C$22, $C$13, 100%, $E$13)</f>
        <v>19.935600000000001</v>
      </c>
      <c r="H951" s="64">
        <f>32.1005* CHOOSE(CONTROL!$C$22, $C$13, 100%, $E$13)</f>
        <v>32.100499999999997</v>
      </c>
      <c r="I951" s="64">
        <f>32.1007 * CHOOSE(CONTROL!$C$22, $C$13, 100%, $E$13)</f>
        <v>32.100700000000003</v>
      </c>
      <c r="J951" s="64">
        <f>19.9354 * CHOOSE(CONTROL!$C$22, $C$13, 100%, $E$13)</f>
        <v>19.935400000000001</v>
      </c>
      <c r="K951" s="64">
        <f>19.9356 * CHOOSE(CONTROL!$C$22, $C$13, 100%, $E$13)</f>
        <v>19.935600000000001</v>
      </c>
    </row>
    <row r="952" spans="1:11" ht="15">
      <c r="A952" s="13">
        <v>70615</v>
      </c>
      <c r="B952" s="63">
        <f>16.8178 * CHOOSE(CONTROL!$C$22, $C$13, 100%, $E$13)</f>
        <v>16.817799999999998</v>
      </c>
      <c r="C952" s="63">
        <f>16.8178 * CHOOSE(CONTROL!$C$22, $C$13, 100%, $E$13)</f>
        <v>16.817799999999998</v>
      </c>
      <c r="D952" s="63">
        <f>16.8577 * CHOOSE(CONTROL!$C$22, $C$13, 100%, $E$13)</f>
        <v>16.857700000000001</v>
      </c>
      <c r="E952" s="64">
        <f>20.0042 * CHOOSE(CONTROL!$C$22, $C$13, 100%, $E$13)</f>
        <v>20.004200000000001</v>
      </c>
      <c r="F952" s="64">
        <f>20.0042 * CHOOSE(CONTROL!$C$22, $C$13, 100%, $E$13)</f>
        <v>20.004200000000001</v>
      </c>
      <c r="G952" s="64">
        <f>20.0067 * CHOOSE(CONTROL!$C$22, $C$13, 100%, $E$13)</f>
        <v>20.006699999999999</v>
      </c>
      <c r="H952" s="64">
        <f>32.1674* CHOOSE(CONTROL!$C$22, $C$13, 100%, $E$13)</f>
        <v>32.167400000000001</v>
      </c>
      <c r="I952" s="64">
        <f>32.1698 * CHOOSE(CONTROL!$C$22, $C$13, 100%, $E$13)</f>
        <v>32.169800000000002</v>
      </c>
      <c r="J952" s="64">
        <f>20.0042 * CHOOSE(CONTROL!$C$22, $C$13, 100%, $E$13)</f>
        <v>20.004200000000001</v>
      </c>
      <c r="K952" s="64">
        <f>20.0067 * CHOOSE(CONTROL!$C$22, $C$13, 100%, $E$13)</f>
        <v>20.006699999999999</v>
      </c>
    </row>
    <row r="953" spans="1:11" ht="15">
      <c r="A953" s="13">
        <v>70646</v>
      </c>
      <c r="B953" s="63">
        <f>16.8239 * CHOOSE(CONTROL!$C$22, $C$13, 100%, $E$13)</f>
        <v>16.823899999999998</v>
      </c>
      <c r="C953" s="63">
        <f>16.8239 * CHOOSE(CONTROL!$C$22, $C$13, 100%, $E$13)</f>
        <v>16.823899999999998</v>
      </c>
      <c r="D953" s="63">
        <f>16.8638 * CHOOSE(CONTROL!$C$22, $C$13, 100%, $E$13)</f>
        <v>16.863800000000001</v>
      </c>
      <c r="E953" s="64">
        <f>19.9396 * CHOOSE(CONTROL!$C$22, $C$13, 100%, $E$13)</f>
        <v>19.939599999999999</v>
      </c>
      <c r="F953" s="64">
        <f>19.9396 * CHOOSE(CONTROL!$C$22, $C$13, 100%, $E$13)</f>
        <v>19.939599999999999</v>
      </c>
      <c r="G953" s="64">
        <f>19.9421 * CHOOSE(CONTROL!$C$22, $C$13, 100%, $E$13)</f>
        <v>19.9421</v>
      </c>
      <c r="H953" s="64">
        <f>32.2344* CHOOSE(CONTROL!$C$22, $C$13, 100%, $E$13)</f>
        <v>32.234400000000001</v>
      </c>
      <c r="I953" s="64">
        <f>32.2368 * CHOOSE(CONTROL!$C$22, $C$13, 100%, $E$13)</f>
        <v>32.236800000000002</v>
      </c>
      <c r="J953" s="64">
        <f>19.9396 * CHOOSE(CONTROL!$C$22, $C$13, 100%, $E$13)</f>
        <v>19.939599999999999</v>
      </c>
      <c r="K953" s="64">
        <f>19.9421 * CHOOSE(CONTROL!$C$22, $C$13, 100%, $E$13)</f>
        <v>19.9421</v>
      </c>
    </row>
    <row r="954" spans="1:11" ht="15">
      <c r="A954" s="13">
        <v>70676</v>
      </c>
      <c r="B954" s="63">
        <f>17.0862 * CHOOSE(CONTROL!$C$22, $C$13, 100%, $E$13)</f>
        <v>17.086200000000002</v>
      </c>
      <c r="C954" s="63">
        <f>17.0862 * CHOOSE(CONTROL!$C$22, $C$13, 100%, $E$13)</f>
        <v>17.086200000000002</v>
      </c>
      <c r="D954" s="63">
        <f>17.1261 * CHOOSE(CONTROL!$C$22, $C$13, 100%, $E$13)</f>
        <v>17.126100000000001</v>
      </c>
      <c r="E954" s="64">
        <f>20.3175 * CHOOSE(CONTROL!$C$22, $C$13, 100%, $E$13)</f>
        <v>20.317499999999999</v>
      </c>
      <c r="F954" s="64">
        <f>20.3175 * CHOOSE(CONTROL!$C$22, $C$13, 100%, $E$13)</f>
        <v>20.317499999999999</v>
      </c>
      <c r="G954" s="64">
        <f>20.32 * CHOOSE(CONTROL!$C$22, $C$13, 100%, $E$13)</f>
        <v>20.32</v>
      </c>
      <c r="H954" s="64">
        <f>32.3016* CHOOSE(CONTROL!$C$22, $C$13, 100%, $E$13)</f>
        <v>32.301600000000001</v>
      </c>
      <c r="I954" s="64">
        <f>32.304 * CHOOSE(CONTROL!$C$22, $C$13, 100%, $E$13)</f>
        <v>32.304000000000002</v>
      </c>
      <c r="J954" s="64">
        <f>20.3175 * CHOOSE(CONTROL!$C$22, $C$13, 100%, $E$13)</f>
        <v>20.317499999999999</v>
      </c>
      <c r="K954" s="64">
        <f>20.32 * CHOOSE(CONTROL!$C$22, $C$13, 100%, $E$13)</f>
        <v>20.32</v>
      </c>
    </row>
    <row r="955" spans="1:11" ht="15">
      <c r="A955" s="13">
        <v>70707</v>
      </c>
      <c r="B955" s="63">
        <f>17.0929 * CHOOSE(CONTROL!$C$22, $C$13, 100%, $E$13)</f>
        <v>17.0929</v>
      </c>
      <c r="C955" s="63">
        <f>17.0929 * CHOOSE(CONTROL!$C$22, $C$13, 100%, $E$13)</f>
        <v>17.0929</v>
      </c>
      <c r="D955" s="63">
        <f>17.1328 * CHOOSE(CONTROL!$C$22, $C$13, 100%, $E$13)</f>
        <v>17.1328</v>
      </c>
      <c r="E955" s="64">
        <f>20.1157 * CHOOSE(CONTROL!$C$22, $C$13, 100%, $E$13)</f>
        <v>20.1157</v>
      </c>
      <c r="F955" s="64">
        <f>20.1157 * CHOOSE(CONTROL!$C$22, $C$13, 100%, $E$13)</f>
        <v>20.1157</v>
      </c>
      <c r="G955" s="64">
        <f>20.1181 * CHOOSE(CONTROL!$C$22, $C$13, 100%, $E$13)</f>
        <v>20.118099999999998</v>
      </c>
      <c r="H955" s="64">
        <f>32.3689* CHOOSE(CONTROL!$C$22, $C$13, 100%, $E$13)</f>
        <v>32.368899999999996</v>
      </c>
      <c r="I955" s="64">
        <f>32.3713 * CHOOSE(CONTROL!$C$22, $C$13, 100%, $E$13)</f>
        <v>32.371299999999998</v>
      </c>
      <c r="J955" s="64">
        <f>20.1157 * CHOOSE(CONTROL!$C$22, $C$13, 100%, $E$13)</f>
        <v>20.1157</v>
      </c>
      <c r="K955" s="64">
        <f>20.1181 * CHOOSE(CONTROL!$C$22, $C$13, 100%, $E$13)</f>
        <v>20.118099999999998</v>
      </c>
    </row>
    <row r="956" spans="1:11" ht="15">
      <c r="A956" s="13">
        <v>70738</v>
      </c>
      <c r="B956" s="63">
        <f>17.0898 * CHOOSE(CONTROL!$C$22, $C$13, 100%, $E$13)</f>
        <v>17.0898</v>
      </c>
      <c r="C956" s="63">
        <f>17.0898 * CHOOSE(CONTROL!$C$22, $C$13, 100%, $E$13)</f>
        <v>17.0898</v>
      </c>
      <c r="D956" s="63">
        <f>17.1298 * CHOOSE(CONTROL!$C$22, $C$13, 100%, $E$13)</f>
        <v>17.129799999999999</v>
      </c>
      <c r="E956" s="64">
        <f>20.0906 * CHOOSE(CONTROL!$C$22, $C$13, 100%, $E$13)</f>
        <v>20.090599999999998</v>
      </c>
      <c r="F956" s="64">
        <f>20.0906 * CHOOSE(CONTROL!$C$22, $C$13, 100%, $E$13)</f>
        <v>20.090599999999998</v>
      </c>
      <c r="G956" s="64">
        <f>20.0931 * CHOOSE(CONTROL!$C$22, $C$13, 100%, $E$13)</f>
        <v>20.0931</v>
      </c>
      <c r="H956" s="64">
        <f>32.4363* CHOOSE(CONTROL!$C$22, $C$13, 100%, $E$13)</f>
        <v>32.436300000000003</v>
      </c>
      <c r="I956" s="64">
        <f>32.4387 * CHOOSE(CONTROL!$C$22, $C$13, 100%, $E$13)</f>
        <v>32.438699999999997</v>
      </c>
      <c r="J956" s="64">
        <f>20.0906 * CHOOSE(CONTROL!$C$22, $C$13, 100%, $E$13)</f>
        <v>20.090599999999998</v>
      </c>
      <c r="K956" s="64">
        <f>20.0931 * CHOOSE(CONTROL!$C$22, $C$13, 100%, $E$13)</f>
        <v>20.0931</v>
      </c>
    </row>
    <row r="957" spans="1:11" ht="15">
      <c r="A957" s="13">
        <v>70768</v>
      </c>
      <c r="B957" s="63">
        <f>17.1277 * CHOOSE(CONTROL!$C$22, $C$13, 100%, $E$13)</f>
        <v>17.127700000000001</v>
      </c>
      <c r="C957" s="63">
        <f>17.1277 * CHOOSE(CONTROL!$C$22, $C$13, 100%, $E$13)</f>
        <v>17.127700000000001</v>
      </c>
      <c r="D957" s="63">
        <f>17.1476 * CHOOSE(CONTROL!$C$22, $C$13, 100%, $E$13)</f>
        <v>17.147600000000001</v>
      </c>
      <c r="E957" s="64">
        <f>20.169 * CHOOSE(CONTROL!$C$22, $C$13, 100%, $E$13)</f>
        <v>20.169</v>
      </c>
      <c r="F957" s="64">
        <f>20.169 * CHOOSE(CONTROL!$C$22, $C$13, 100%, $E$13)</f>
        <v>20.169</v>
      </c>
      <c r="G957" s="64">
        <f>20.1692 * CHOOSE(CONTROL!$C$22, $C$13, 100%, $E$13)</f>
        <v>20.1692</v>
      </c>
      <c r="H957" s="64">
        <f>32.5039* CHOOSE(CONTROL!$C$22, $C$13, 100%, $E$13)</f>
        <v>32.503900000000002</v>
      </c>
      <c r="I957" s="64">
        <f>32.504 * CHOOSE(CONTROL!$C$22, $C$13, 100%, $E$13)</f>
        <v>32.503999999999998</v>
      </c>
      <c r="J957" s="64">
        <f>20.169 * CHOOSE(CONTROL!$C$22, $C$13, 100%, $E$13)</f>
        <v>20.169</v>
      </c>
      <c r="K957" s="64">
        <f>20.1692 * CHOOSE(CONTROL!$C$22, $C$13, 100%, $E$13)</f>
        <v>20.1692</v>
      </c>
    </row>
    <row r="958" spans="1:11" ht="15">
      <c r="A958" s="13">
        <v>70799</v>
      </c>
      <c r="B958" s="63">
        <f>17.1307 * CHOOSE(CONTROL!$C$22, $C$13, 100%, $E$13)</f>
        <v>17.130700000000001</v>
      </c>
      <c r="C958" s="63">
        <f>17.1307 * CHOOSE(CONTROL!$C$22, $C$13, 100%, $E$13)</f>
        <v>17.130700000000001</v>
      </c>
      <c r="D958" s="63">
        <f>17.1507 * CHOOSE(CONTROL!$C$22, $C$13, 100%, $E$13)</f>
        <v>17.150700000000001</v>
      </c>
      <c r="E958" s="64">
        <f>20.217 * CHOOSE(CONTROL!$C$22, $C$13, 100%, $E$13)</f>
        <v>20.216999999999999</v>
      </c>
      <c r="F958" s="64">
        <f>20.217 * CHOOSE(CONTROL!$C$22, $C$13, 100%, $E$13)</f>
        <v>20.216999999999999</v>
      </c>
      <c r="G958" s="64">
        <f>20.2172 * CHOOSE(CONTROL!$C$22, $C$13, 100%, $E$13)</f>
        <v>20.217199999999998</v>
      </c>
      <c r="H958" s="64">
        <f>32.5716* CHOOSE(CONTROL!$C$22, $C$13, 100%, $E$13)</f>
        <v>32.571599999999997</v>
      </c>
      <c r="I958" s="64">
        <f>32.5718 * CHOOSE(CONTROL!$C$22, $C$13, 100%, $E$13)</f>
        <v>32.571800000000003</v>
      </c>
      <c r="J958" s="64">
        <f>20.217 * CHOOSE(CONTROL!$C$22, $C$13, 100%, $E$13)</f>
        <v>20.216999999999999</v>
      </c>
      <c r="K958" s="64">
        <f>20.2172 * CHOOSE(CONTROL!$C$22, $C$13, 100%, $E$13)</f>
        <v>20.217199999999998</v>
      </c>
    </row>
    <row r="959" spans="1:11" ht="15">
      <c r="A959" s="13">
        <v>70829</v>
      </c>
      <c r="B959" s="63">
        <f>17.1307 * CHOOSE(CONTROL!$C$22, $C$13, 100%, $E$13)</f>
        <v>17.130700000000001</v>
      </c>
      <c r="C959" s="63">
        <f>17.1307 * CHOOSE(CONTROL!$C$22, $C$13, 100%, $E$13)</f>
        <v>17.130700000000001</v>
      </c>
      <c r="D959" s="63">
        <f>17.1507 * CHOOSE(CONTROL!$C$22, $C$13, 100%, $E$13)</f>
        <v>17.150700000000001</v>
      </c>
      <c r="E959" s="64">
        <f>20.1023 * CHOOSE(CONTROL!$C$22, $C$13, 100%, $E$13)</f>
        <v>20.1023</v>
      </c>
      <c r="F959" s="64">
        <f>20.1023 * CHOOSE(CONTROL!$C$22, $C$13, 100%, $E$13)</f>
        <v>20.1023</v>
      </c>
      <c r="G959" s="64">
        <f>20.1024 * CHOOSE(CONTROL!$C$22, $C$13, 100%, $E$13)</f>
        <v>20.102399999999999</v>
      </c>
      <c r="H959" s="64">
        <f>32.6394* CHOOSE(CONTROL!$C$22, $C$13, 100%, $E$13)</f>
        <v>32.639400000000002</v>
      </c>
      <c r="I959" s="64">
        <f>32.6396 * CHOOSE(CONTROL!$C$22, $C$13, 100%, $E$13)</f>
        <v>32.639600000000002</v>
      </c>
      <c r="J959" s="64">
        <f>20.1023 * CHOOSE(CONTROL!$C$22, $C$13, 100%, $E$13)</f>
        <v>20.1023</v>
      </c>
      <c r="K959" s="64">
        <f>20.1024 * CHOOSE(CONTROL!$C$22, $C$13, 100%, $E$13)</f>
        <v>20.102399999999999</v>
      </c>
    </row>
    <row r="960" spans="1:11" ht="15">
      <c r="A960" s="13">
        <v>70860</v>
      </c>
      <c r="B960" s="63">
        <f>17.0606 * CHOOSE(CONTROL!$C$22, $C$13, 100%, $E$13)</f>
        <v>17.060600000000001</v>
      </c>
      <c r="C960" s="63">
        <f>17.0606 * CHOOSE(CONTROL!$C$22, $C$13, 100%, $E$13)</f>
        <v>17.060600000000001</v>
      </c>
      <c r="D960" s="63">
        <f>17.0806 * CHOOSE(CONTROL!$C$22, $C$13, 100%, $E$13)</f>
        <v>17.0806</v>
      </c>
      <c r="E960" s="64">
        <f>20.0986 * CHOOSE(CONTROL!$C$22, $C$13, 100%, $E$13)</f>
        <v>20.098600000000001</v>
      </c>
      <c r="F960" s="64">
        <f>20.0986 * CHOOSE(CONTROL!$C$22, $C$13, 100%, $E$13)</f>
        <v>20.098600000000001</v>
      </c>
      <c r="G960" s="64">
        <f>20.0988 * CHOOSE(CONTROL!$C$22, $C$13, 100%, $E$13)</f>
        <v>20.098800000000001</v>
      </c>
      <c r="H960" s="64">
        <f>32.3466* CHOOSE(CONTROL!$C$22, $C$13, 100%, $E$13)</f>
        <v>32.346600000000002</v>
      </c>
      <c r="I960" s="64">
        <f>32.3468 * CHOOSE(CONTROL!$C$22, $C$13, 100%, $E$13)</f>
        <v>32.346800000000002</v>
      </c>
      <c r="J960" s="64">
        <f>20.0986 * CHOOSE(CONTROL!$C$22, $C$13, 100%, $E$13)</f>
        <v>20.098600000000001</v>
      </c>
      <c r="K960" s="64">
        <f>20.0988 * CHOOSE(CONTROL!$C$22, $C$13, 100%, $E$13)</f>
        <v>20.098800000000001</v>
      </c>
    </row>
    <row r="961" spans="1:11" ht="15">
      <c r="A961" s="13">
        <v>70891</v>
      </c>
      <c r="B961" s="63">
        <f>17.0576 * CHOOSE(CONTROL!$C$22, $C$13, 100%, $E$13)</f>
        <v>17.057600000000001</v>
      </c>
      <c r="C961" s="63">
        <f>17.0576 * CHOOSE(CONTROL!$C$22, $C$13, 100%, $E$13)</f>
        <v>17.057600000000001</v>
      </c>
      <c r="D961" s="63">
        <f>17.0776 * CHOOSE(CONTROL!$C$22, $C$13, 100%, $E$13)</f>
        <v>17.0776</v>
      </c>
      <c r="E961" s="64">
        <f>19.8764 * CHOOSE(CONTROL!$C$22, $C$13, 100%, $E$13)</f>
        <v>19.8764</v>
      </c>
      <c r="F961" s="64">
        <f>19.8764 * CHOOSE(CONTROL!$C$22, $C$13, 100%, $E$13)</f>
        <v>19.8764</v>
      </c>
      <c r="G961" s="64">
        <f>19.8766 * CHOOSE(CONTROL!$C$22, $C$13, 100%, $E$13)</f>
        <v>19.8766</v>
      </c>
      <c r="H961" s="64">
        <f>32.414* CHOOSE(CONTROL!$C$22, $C$13, 100%, $E$13)</f>
        <v>32.414000000000001</v>
      </c>
      <c r="I961" s="64">
        <f>32.4142 * CHOOSE(CONTROL!$C$22, $C$13, 100%, $E$13)</f>
        <v>32.414200000000001</v>
      </c>
      <c r="J961" s="64">
        <f>19.8764 * CHOOSE(CONTROL!$C$22, $C$13, 100%, $E$13)</f>
        <v>19.8764</v>
      </c>
      <c r="K961" s="64">
        <f>19.8766 * CHOOSE(CONTROL!$C$22, $C$13, 100%, $E$13)</f>
        <v>19.8766</v>
      </c>
    </row>
    <row r="962" spans="1:11" ht="15">
      <c r="A962" s="13">
        <v>70919</v>
      </c>
      <c r="B962" s="63">
        <f>17.0546 * CHOOSE(CONTROL!$C$22, $C$13, 100%, $E$13)</f>
        <v>17.054600000000001</v>
      </c>
      <c r="C962" s="63">
        <f>17.0546 * CHOOSE(CONTROL!$C$22, $C$13, 100%, $E$13)</f>
        <v>17.054600000000001</v>
      </c>
      <c r="D962" s="63">
        <f>17.0745 * CHOOSE(CONTROL!$C$22, $C$13, 100%, $E$13)</f>
        <v>17.0745</v>
      </c>
      <c r="E962" s="64">
        <f>20.0478 * CHOOSE(CONTROL!$C$22, $C$13, 100%, $E$13)</f>
        <v>20.047799999999999</v>
      </c>
      <c r="F962" s="64">
        <f>20.0478 * CHOOSE(CONTROL!$C$22, $C$13, 100%, $E$13)</f>
        <v>20.047799999999999</v>
      </c>
      <c r="G962" s="64">
        <f>20.048 * CHOOSE(CONTROL!$C$22, $C$13, 100%, $E$13)</f>
        <v>20.047999999999998</v>
      </c>
      <c r="H962" s="64">
        <f>32.4815* CHOOSE(CONTROL!$C$22, $C$13, 100%, $E$13)</f>
        <v>32.481499999999997</v>
      </c>
      <c r="I962" s="64">
        <f>32.4817 * CHOOSE(CONTROL!$C$22, $C$13, 100%, $E$13)</f>
        <v>32.481699999999996</v>
      </c>
      <c r="J962" s="64">
        <f>20.0478 * CHOOSE(CONTROL!$C$22, $C$13, 100%, $E$13)</f>
        <v>20.047799999999999</v>
      </c>
      <c r="K962" s="64">
        <f>20.048 * CHOOSE(CONTROL!$C$22, $C$13, 100%, $E$13)</f>
        <v>20.047999999999998</v>
      </c>
    </row>
    <row r="963" spans="1:11" ht="15">
      <c r="A963" s="13">
        <v>70950</v>
      </c>
      <c r="B963" s="63">
        <f>17.0633 * CHOOSE(CONTROL!$C$22, $C$13, 100%, $E$13)</f>
        <v>17.063300000000002</v>
      </c>
      <c r="C963" s="63">
        <f>17.0633 * CHOOSE(CONTROL!$C$22, $C$13, 100%, $E$13)</f>
        <v>17.063300000000002</v>
      </c>
      <c r="D963" s="63">
        <f>17.0833 * CHOOSE(CONTROL!$C$22, $C$13, 100%, $E$13)</f>
        <v>17.083300000000001</v>
      </c>
      <c r="E963" s="64">
        <f>20.2298 * CHOOSE(CONTROL!$C$22, $C$13, 100%, $E$13)</f>
        <v>20.229800000000001</v>
      </c>
      <c r="F963" s="64">
        <f>20.2298 * CHOOSE(CONTROL!$C$22, $C$13, 100%, $E$13)</f>
        <v>20.229800000000001</v>
      </c>
      <c r="G963" s="64">
        <f>20.23 * CHOOSE(CONTROL!$C$22, $C$13, 100%, $E$13)</f>
        <v>20.23</v>
      </c>
      <c r="H963" s="64">
        <f>32.5492* CHOOSE(CONTROL!$C$22, $C$13, 100%, $E$13)</f>
        <v>32.549199999999999</v>
      </c>
      <c r="I963" s="64">
        <f>32.5494 * CHOOSE(CONTROL!$C$22, $C$13, 100%, $E$13)</f>
        <v>32.549399999999999</v>
      </c>
      <c r="J963" s="64">
        <f>20.2298 * CHOOSE(CONTROL!$C$22, $C$13, 100%, $E$13)</f>
        <v>20.229800000000001</v>
      </c>
      <c r="K963" s="64">
        <f>20.23 * CHOOSE(CONTROL!$C$22, $C$13, 100%, $E$13)</f>
        <v>20.23</v>
      </c>
    </row>
    <row r="964" spans="1:11" ht="15">
      <c r="A964" s="13">
        <v>70980</v>
      </c>
      <c r="B964" s="63">
        <f>17.0633 * CHOOSE(CONTROL!$C$22, $C$13, 100%, $E$13)</f>
        <v>17.063300000000002</v>
      </c>
      <c r="C964" s="63">
        <f>17.0633 * CHOOSE(CONTROL!$C$22, $C$13, 100%, $E$13)</f>
        <v>17.063300000000002</v>
      </c>
      <c r="D964" s="63">
        <f>17.1033 * CHOOSE(CONTROL!$C$22, $C$13, 100%, $E$13)</f>
        <v>17.103300000000001</v>
      </c>
      <c r="E964" s="64">
        <f>20.2997 * CHOOSE(CONTROL!$C$22, $C$13, 100%, $E$13)</f>
        <v>20.299700000000001</v>
      </c>
      <c r="F964" s="64">
        <f>20.2997 * CHOOSE(CONTROL!$C$22, $C$13, 100%, $E$13)</f>
        <v>20.299700000000001</v>
      </c>
      <c r="G964" s="64">
        <f>20.3021 * CHOOSE(CONTROL!$C$22, $C$13, 100%, $E$13)</f>
        <v>20.302099999999999</v>
      </c>
      <c r="H964" s="64">
        <f>32.617* CHOOSE(CONTROL!$C$22, $C$13, 100%, $E$13)</f>
        <v>32.616999999999997</v>
      </c>
      <c r="I964" s="64">
        <f>32.6195 * CHOOSE(CONTROL!$C$22, $C$13, 100%, $E$13)</f>
        <v>32.619500000000002</v>
      </c>
      <c r="J964" s="64">
        <f>20.2997 * CHOOSE(CONTROL!$C$22, $C$13, 100%, $E$13)</f>
        <v>20.299700000000001</v>
      </c>
      <c r="K964" s="64">
        <f>20.3021 * CHOOSE(CONTROL!$C$22, $C$13, 100%, $E$13)</f>
        <v>20.302099999999999</v>
      </c>
    </row>
    <row r="965" spans="1:11" ht="15">
      <c r="A965" s="13">
        <v>71011</v>
      </c>
      <c r="B965" s="63">
        <f>17.0694 * CHOOSE(CONTROL!$C$22, $C$13, 100%, $E$13)</f>
        <v>17.069400000000002</v>
      </c>
      <c r="C965" s="63">
        <f>17.0694 * CHOOSE(CONTROL!$C$22, $C$13, 100%, $E$13)</f>
        <v>17.069400000000002</v>
      </c>
      <c r="D965" s="63">
        <f>17.1093 * CHOOSE(CONTROL!$C$22, $C$13, 100%, $E$13)</f>
        <v>17.109300000000001</v>
      </c>
      <c r="E965" s="64">
        <f>20.2341 * CHOOSE(CONTROL!$C$22, $C$13, 100%, $E$13)</f>
        <v>20.234100000000002</v>
      </c>
      <c r="F965" s="64">
        <f>20.2341 * CHOOSE(CONTROL!$C$22, $C$13, 100%, $E$13)</f>
        <v>20.234100000000002</v>
      </c>
      <c r="G965" s="64">
        <f>20.2365 * CHOOSE(CONTROL!$C$22, $C$13, 100%, $E$13)</f>
        <v>20.236499999999999</v>
      </c>
      <c r="H965" s="64">
        <f>32.685* CHOOSE(CONTROL!$C$22, $C$13, 100%, $E$13)</f>
        <v>32.685000000000002</v>
      </c>
      <c r="I965" s="64">
        <f>32.6874 * CHOOSE(CONTROL!$C$22, $C$13, 100%, $E$13)</f>
        <v>32.687399999999997</v>
      </c>
      <c r="J965" s="64">
        <f>20.2341 * CHOOSE(CONTROL!$C$22, $C$13, 100%, $E$13)</f>
        <v>20.234100000000002</v>
      </c>
      <c r="K965" s="64">
        <f>20.2365 * CHOOSE(CONTROL!$C$22, $C$13, 100%, $E$13)</f>
        <v>20.236499999999999</v>
      </c>
    </row>
    <row r="966" spans="1:11" ht="15">
      <c r="A966" s="13">
        <v>71041</v>
      </c>
      <c r="B966" s="63">
        <f>17.3354 * CHOOSE(CONTROL!$C$22, $C$13, 100%, $E$13)</f>
        <v>17.3354</v>
      </c>
      <c r="C966" s="63">
        <f>17.3354 * CHOOSE(CONTROL!$C$22, $C$13, 100%, $E$13)</f>
        <v>17.3354</v>
      </c>
      <c r="D966" s="63">
        <f>17.3753 * CHOOSE(CONTROL!$C$22, $C$13, 100%, $E$13)</f>
        <v>17.375299999999999</v>
      </c>
      <c r="E966" s="64">
        <f>20.6174 * CHOOSE(CONTROL!$C$22, $C$13, 100%, $E$13)</f>
        <v>20.6174</v>
      </c>
      <c r="F966" s="64">
        <f>20.6174 * CHOOSE(CONTROL!$C$22, $C$13, 100%, $E$13)</f>
        <v>20.6174</v>
      </c>
      <c r="G966" s="64">
        <f>20.6199 * CHOOSE(CONTROL!$C$22, $C$13, 100%, $E$13)</f>
        <v>20.619900000000001</v>
      </c>
      <c r="H966" s="64">
        <f>32.7531* CHOOSE(CONTROL!$C$22, $C$13, 100%, $E$13)</f>
        <v>32.753100000000003</v>
      </c>
      <c r="I966" s="64">
        <f>32.7555 * CHOOSE(CONTROL!$C$22, $C$13, 100%, $E$13)</f>
        <v>32.755499999999998</v>
      </c>
      <c r="J966" s="64">
        <f>20.6174 * CHOOSE(CONTROL!$C$22, $C$13, 100%, $E$13)</f>
        <v>20.6174</v>
      </c>
      <c r="K966" s="64">
        <f>20.6199 * CHOOSE(CONTROL!$C$22, $C$13, 100%, $E$13)</f>
        <v>20.619900000000001</v>
      </c>
    </row>
    <row r="967" spans="1:11" ht="15">
      <c r="A967" s="13">
        <v>71072</v>
      </c>
      <c r="B967" s="63">
        <f>17.3421 * CHOOSE(CONTROL!$C$22, $C$13, 100%, $E$13)</f>
        <v>17.342099999999999</v>
      </c>
      <c r="C967" s="63">
        <f>17.3421 * CHOOSE(CONTROL!$C$22, $C$13, 100%, $E$13)</f>
        <v>17.342099999999999</v>
      </c>
      <c r="D967" s="63">
        <f>17.382 * CHOOSE(CONTROL!$C$22, $C$13, 100%, $E$13)</f>
        <v>17.382000000000001</v>
      </c>
      <c r="E967" s="64">
        <f>20.4125 * CHOOSE(CONTROL!$C$22, $C$13, 100%, $E$13)</f>
        <v>20.412500000000001</v>
      </c>
      <c r="F967" s="64">
        <f>20.4125 * CHOOSE(CONTROL!$C$22, $C$13, 100%, $E$13)</f>
        <v>20.412500000000001</v>
      </c>
      <c r="G967" s="64">
        <f>20.415 * CHOOSE(CONTROL!$C$22, $C$13, 100%, $E$13)</f>
        <v>20.414999999999999</v>
      </c>
      <c r="H967" s="64">
        <f>32.8213* CHOOSE(CONTROL!$C$22, $C$13, 100%, $E$13)</f>
        <v>32.821300000000001</v>
      </c>
      <c r="I967" s="64">
        <f>32.8237 * CHOOSE(CONTROL!$C$22, $C$13, 100%, $E$13)</f>
        <v>32.823700000000002</v>
      </c>
      <c r="J967" s="64">
        <f>20.4125 * CHOOSE(CONTROL!$C$22, $C$13, 100%, $E$13)</f>
        <v>20.412500000000001</v>
      </c>
      <c r="K967" s="64">
        <f>20.415 * CHOOSE(CONTROL!$C$22, $C$13, 100%, $E$13)</f>
        <v>20.414999999999999</v>
      </c>
    </row>
    <row r="968" spans="1:11" ht="15">
      <c r="A968" s="13">
        <v>71103</v>
      </c>
      <c r="B968" s="63">
        <f>17.339 * CHOOSE(CONTROL!$C$22, $C$13, 100%, $E$13)</f>
        <v>17.338999999999999</v>
      </c>
      <c r="C968" s="63">
        <f>17.339 * CHOOSE(CONTROL!$C$22, $C$13, 100%, $E$13)</f>
        <v>17.338999999999999</v>
      </c>
      <c r="D968" s="63">
        <f>17.379 * CHOOSE(CONTROL!$C$22, $C$13, 100%, $E$13)</f>
        <v>17.379000000000001</v>
      </c>
      <c r="E968" s="64">
        <f>20.3871 * CHOOSE(CONTROL!$C$22, $C$13, 100%, $E$13)</f>
        <v>20.3871</v>
      </c>
      <c r="F968" s="64">
        <f>20.3871 * CHOOSE(CONTROL!$C$22, $C$13, 100%, $E$13)</f>
        <v>20.3871</v>
      </c>
      <c r="G968" s="64">
        <f>20.3896 * CHOOSE(CONTROL!$C$22, $C$13, 100%, $E$13)</f>
        <v>20.389600000000002</v>
      </c>
      <c r="H968" s="64">
        <f>32.8897* CHOOSE(CONTROL!$C$22, $C$13, 100%, $E$13)</f>
        <v>32.889699999999998</v>
      </c>
      <c r="I968" s="64">
        <f>32.8921 * CHOOSE(CONTROL!$C$22, $C$13, 100%, $E$13)</f>
        <v>32.892099999999999</v>
      </c>
      <c r="J968" s="64">
        <f>20.3871 * CHOOSE(CONTROL!$C$22, $C$13, 100%, $E$13)</f>
        <v>20.3871</v>
      </c>
      <c r="K968" s="64">
        <f>20.3896 * CHOOSE(CONTROL!$C$22, $C$13, 100%, $E$13)</f>
        <v>20.389600000000002</v>
      </c>
    </row>
    <row r="969" spans="1:11" ht="15">
      <c r="A969" s="13">
        <v>71133</v>
      </c>
      <c r="B969" s="63">
        <f>17.3777 * CHOOSE(CONTROL!$C$22, $C$13, 100%, $E$13)</f>
        <v>17.377700000000001</v>
      </c>
      <c r="C969" s="63">
        <f>17.3777 * CHOOSE(CONTROL!$C$22, $C$13, 100%, $E$13)</f>
        <v>17.377700000000001</v>
      </c>
      <c r="D969" s="63">
        <f>17.3977 * CHOOSE(CONTROL!$C$22, $C$13, 100%, $E$13)</f>
        <v>17.3977</v>
      </c>
      <c r="E969" s="64">
        <f>20.4668 * CHOOSE(CONTROL!$C$22, $C$13, 100%, $E$13)</f>
        <v>20.466799999999999</v>
      </c>
      <c r="F969" s="64">
        <f>20.4668 * CHOOSE(CONTROL!$C$22, $C$13, 100%, $E$13)</f>
        <v>20.466799999999999</v>
      </c>
      <c r="G969" s="64">
        <f>20.467 * CHOOSE(CONTROL!$C$22, $C$13, 100%, $E$13)</f>
        <v>20.466999999999999</v>
      </c>
      <c r="H969" s="64">
        <f>32.9582* CHOOSE(CONTROL!$C$22, $C$13, 100%, $E$13)</f>
        <v>32.958199999999998</v>
      </c>
      <c r="I969" s="64">
        <f>32.9584 * CHOOSE(CONTROL!$C$22, $C$13, 100%, $E$13)</f>
        <v>32.958399999999997</v>
      </c>
      <c r="J969" s="64">
        <f>20.4668 * CHOOSE(CONTROL!$C$22, $C$13, 100%, $E$13)</f>
        <v>20.466799999999999</v>
      </c>
      <c r="K969" s="64">
        <f>20.467 * CHOOSE(CONTROL!$C$22, $C$13, 100%, $E$13)</f>
        <v>20.466999999999999</v>
      </c>
    </row>
    <row r="970" spans="1:11" ht="15">
      <c r="A970" s="13">
        <v>71164</v>
      </c>
      <c r="B970" s="63">
        <f>17.3807 * CHOOSE(CONTROL!$C$22, $C$13, 100%, $E$13)</f>
        <v>17.380700000000001</v>
      </c>
      <c r="C970" s="63">
        <f>17.3807 * CHOOSE(CONTROL!$C$22, $C$13, 100%, $E$13)</f>
        <v>17.380700000000001</v>
      </c>
      <c r="D970" s="63">
        <f>17.4007 * CHOOSE(CONTROL!$C$22, $C$13, 100%, $E$13)</f>
        <v>17.400700000000001</v>
      </c>
      <c r="E970" s="64">
        <f>20.5155 * CHOOSE(CONTROL!$C$22, $C$13, 100%, $E$13)</f>
        <v>20.515499999999999</v>
      </c>
      <c r="F970" s="64">
        <f>20.5155 * CHOOSE(CONTROL!$C$22, $C$13, 100%, $E$13)</f>
        <v>20.515499999999999</v>
      </c>
      <c r="G970" s="64">
        <f>20.5157 * CHOOSE(CONTROL!$C$22, $C$13, 100%, $E$13)</f>
        <v>20.515699999999999</v>
      </c>
      <c r="H970" s="64">
        <f>33.0268* CHOOSE(CONTROL!$C$22, $C$13, 100%, $E$13)</f>
        <v>33.026800000000001</v>
      </c>
      <c r="I970" s="64">
        <f>33.027 * CHOOSE(CONTROL!$C$22, $C$13, 100%, $E$13)</f>
        <v>33.027000000000001</v>
      </c>
      <c r="J970" s="64">
        <f>20.5155 * CHOOSE(CONTROL!$C$22, $C$13, 100%, $E$13)</f>
        <v>20.515499999999999</v>
      </c>
      <c r="K970" s="64">
        <f>20.5157 * CHOOSE(CONTROL!$C$22, $C$13, 100%, $E$13)</f>
        <v>20.515699999999999</v>
      </c>
    </row>
    <row r="971" spans="1:11" ht="15">
      <c r="A971" s="13">
        <v>71194</v>
      </c>
      <c r="B971" s="63">
        <f>17.3807 * CHOOSE(CONTROL!$C$22, $C$13, 100%, $E$13)</f>
        <v>17.380700000000001</v>
      </c>
      <c r="C971" s="63">
        <f>17.3807 * CHOOSE(CONTROL!$C$22, $C$13, 100%, $E$13)</f>
        <v>17.380700000000001</v>
      </c>
      <c r="D971" s="63">
        <f>17.4007 * CHOOSE(CONTROL!$C$22, $C$13, 100%, $E$13)</f>
        <v>17.400700000000001</v>
      </c>
      <c r="E971" s="64">
        <f>20.3991 * CHOOSE(CONTROL!$C$22, $C$13, 100%, $E$13)</f>
        <v>20.399100000000001</v>
      </c>
      <c r="F971" s="64">
        <f>20.3991 * CHOOSE(CONTROL!$C$22, $C$13, 100%, $E$13)</f>
        <v>20.399100000000001</v>
      </c>
      <c r="G971" s="64">
        <f>20.3993 * CHOOSE(CONTROL!$C$22, $C$13, 100%, $E$13)</f>
        <v>20.3993</v>
      </c>
      <c r="H971" s="64">
        <f>33.0957* CHOOSE(CONTROL!$C$22, $C$13, 100%, $E$13)</f>
        <v>33.095700000000001</v>
      </c>
      <c r="I971" s="64">
        <f>33.0958 * CHOOSE(CONTROL!$C$22, $C$13, 100%, $E$13)</f>
        <v>33.095799999999997</v>
      </c>
      <c r="J971" s="64">
        <f>20.3991 * CHOOSE(CONTROL!$C$22, $C$13, 100%, $E$13)</f>
        <v>20.399100000000001</v>
      </c>
      <c r="K971" s="64">
        <f>20.3993 * CHOOSE(CONTROL!$C$22, $C$13, 100%, $E$13)</f>
        <v>20.3993</v>
      </c>
    </row>
    <row r="972" spans="1:11" ht="15">
      <c r="A972" s="13">
        <v>71225</v>
      </c>
      <c r="B972" s="63">
        <f>17.306 * CHOOSE(CONTROL!$C$22, $C$13, 100%, $E$13)</f>
        <v>17.306000000000001</v>
      </c>
      <c r="C972" s="63">
        <f>17.306 * CHOOSE(CONTROL!$C$22, $C$13, 100%, $E$13)</f>
        <v>17.306000000000001</v>
      </c>
      <c r="D972" s="63">
        <f>17.3259 * CHOOSE(CONTROL!$C$22, $C$13, 100%, $E$13)</f>
        <v>17.325900000000001</v>
      </c>
      <c r="E972" s="64">
        <f>20.391 * CHOOSE(CONTROL!$C$22, $C$13, 100%, $E$13)</f>
        <v>20.390999999999998</v>
      </c>
      <c r="F972" s="64">
        <f>20.391 * CHOOSE(CONTROL!$C$22, $C$13, 100%, $E$13)</f>
        <v>20.390999999999998</v>
      </c>
      <c r="G972" s="64">
        <f>20.3912 * CHOOSE(CONTROL!$C$22, $C$13, 100%, $E$13)</f>
        <v>20.391200000000001</v>
      </c>
      <c r="H972" s="64">
        <f>32.7925* CHOOSE(CONTROL!$C$22, $C$13, 100%, $E$13)</f>
        <v>32.792499999999997</v>
      </c>
      <c r="I972" s="64">
        <f>32.7927 * CHOOSE(CONTROL!$C$22, $C$13, 100%, $E$13)</f>
        <v>32.792700000000004</v>
      </c>
      <c r="J972" s="64">
        <f>20.391 * CHOOSE(CONTROL!$C$22, $C$13, 100%, $E$13)</f>
        <v>20.390999999999998</v>
      </c>
      <c r="K972" s="64">
        <f>20.3912 * CHOOSE(CONTROL!$C$22, $C$13, 100%, $E$13)</f>
        <v>20.391200000000001</v>
      </c>
    </row>
    <row r="973" spans="1:11" ht="15">
      <c r="A973" s="13">
        <v>71256</v>
      </c>
      <c r="B973" s="63">
        <f>17.3029 * CHOOSE(CONTROL!$C$22, $C$13, 100%, $E$13)</f>
        <v>17.302900000000001</v>
      </c>
      <c r="C973" s="63">
        <f>17.3029 * CHOOSE(CONTROL!$C$22, $C$13, 100%, $E$13)</f>
        <v>17.302900000000001</v>
      </c>
      <c r="D973" s="63">
        <f>17.3229 * CHOOSE(CONTROL!$C$22, $C$13, 100%, $E$13)</f>
        <v>17.322900000000001</v>
      </c>
      <c r="E973" s="64">
        <f>20.1657 * CHOOSE(CONTROL!$C$22, $C$13, 100%, $E$13)</f>
        <v>20.165700000000001</v>
      </c>
      <c r="F973" s="64">
        <f>20.1657 * CHOOSE(CONTROL!$C$22, $C$13, 100%, $E$13)</f>
        <v>20.165700000000001</v>
      </c>
      <c r="G973" s="64">
        <f>20.1658 * CHOOSE(CONTROL!$C$22, $C$13, 100%, $E$13)</f>
        <v>20.165800000000001</v>
      </c>
      <c r="H973" s="64">
        <f>32.8608* CHOOSE(CONTROL!$C$22, $C$13, 100%, $E$13)</f>
        <v>32.860799999999998</v>
      </c>
      <c r="I973" s="64">
        <f>32.861 * CHOOSE(CONTROL!$C$22, $C$13, 100%, $E$13)</f>
        <v>32.860999999999997</v>
      </c>
      <c r="J973" s="64">
        <f>20.1657 * CHOOSE(CONTROL!$C$22, $C$13, 100%, $E$13)</f>
        <v>20.165700000000001</v>
      </c>
      <c r="K973" s="64">
        <f>20.1658 * CHOOSE(CONTROL!$C$22, $C$13, 100%, $E$13)</f>
        <v>20.165800000000001</v>
      </c>
    </row>
    <row r="974" spans="1:11" ht="15">
      <c r="A974" s="13">
        <v>71284</v>
      </c>
      <c r="B974" s="63">
        <f>17.2999 * CHOOSE(CONTROL!$C$22, $C$13, 100%, $E$13)</f>
        <v>17.299900000000001</v>
      </c>
      <c r="C974" s="63">
        <f>17.2999 * CHOOSE(CONTROL!$C$22, $C$13, 100%, $E$13)</f>
        <v>17.299900000000001</v>
      </c>
      <c r="D974" s="63">
        <f>17.3199 * CHOOSE(CONTROL!$C$22, $C$13, 100%, $E$13)</f>
        <v>17.319900000000001</v>
      </c>
      <c r="E974" s="64">
        <f>20.3395 * CHOOSE(CONTROL!$C$22, $C$13, 100%, $E$13)</f>
        <v>20.339500000000001</v>
      </c>
      <c r="F974" s="64">
        <f>20.3395 * CHOOSE(CONTROL!$C$22, $C$13, 100%, $E$13)</f>
        <v>20.339500000000001</v>
      </c>
      <c r="G974" s="64">
        <f>20.3397 * CHOOSE(CONTROL!$C$22, $C$13, 100%, $E$13)</f>
        <v>20.339700000000001</v>
      </c>
      <c r="H974" s="64">
        <f>32.9293* CHOOSE(CONTROL!$C$22, $C$13, 100%, $E$13)</f>
        <v>32.929299999999998</v>
      </c>
      <c r="I974" s="64">
        <f>32.9295 * CHOOSE(CONTROL!$C$22, $C$13, 100%, $E$13)</f>
        <v>32.929499999999997</v>
      </c>
      <c r="J974" s="64">
        <f>20.3395 * CHOOSE(CONTROL!$C$22, $C$13, 100%, $E$13)</f>
        <v>20.339500000000001</v>
      </c>
      <c r="K974" s="64">
        <f>20.3397 * CHOOSE(CONTROL!$C$22, $C$13, 100%, $E$13)</f>
        <v>20.339700000000001</v>
      </c>
    </row>
    <row r="975" spans="1:11" ht="15">
      <c r="A975" s="13">
        <v>71315</v>
      </c>
      <c r="B975" s="63">
        <f>17.3088 * CHOOSE(CONTROL!$C$22, $C$13, 100%, $E$13)</f>
        <v>17.308800000000002</v>
      </c>
      <c r="C975" s="63">
        <f>17.3088 * CHOOSE(CONTROL!$C$22, $C$13, 100%, $E$13)</f>
        <v>17.308800000000002</v>
      </c>
      <c r="D975" s="63">
        <f>17.3288 * CHOOSE(CONTROL!$C$22, $C$13, 100%, $E$13)</f>
        <v>17.328800000000001</v>
      </c>
      <c r="E975" s="64">
        <f>20.5243 * CHOOSE(CONTROL!$C$22, $C$13, 100%, $E$13)</f>
        <v>20.5243</v>
      </c>
      <c r="F975" s="64">
        <f>20.5243 * CHOOSE(CONTROL!$C$22, $C$13, 100%, $E$13)</f>
        <v>20.5243</v>
      </c>
      <c r="G975" s="64">
        <f>20.5244 * CHOOSE(CONTROL!$C$22, $C$13, 100%, $E$13)</f>
        <v>20.5244</v>
      </c>
      <c r="H975" s="64">
        <f>32.9979* CHOOSE(CONTROL!$C$22, $C$13, 100%, $E$13)</f>
        <v>32.997900000000001</v>
      </c>
      <c r="I975" s="64">
        <f>32.9981 * CHOOSE(CONTROL!$C$22, $C$13, 100%, $E$13)</f>
        <v>32.998100000000001</v>
      </c>
      <c r="J975" s="64">
        <f>20.5243 * CHOOSE(CONTROL!$C$22, $C$13, 100%, $E$13)</f>
        <v>20.5243</v>
      </c>
      <c r="K975" s="64">
        <f>20.5244 * CHOOSE(CONTROL!$C$22, $C$13, 100%, $E$13)</f>
        <v>20.5244</v>
      </c>
    </row>
    <row r="976" spans="1:11" ht="15">
      <c r="A976" s="13">
        <v>71345</v>
      </c>
      <c r="B976" s="63">
        <f>17.3088 * CHOOSE(CONTROL!$C$22, $C$13, 100%, $E$13)</f>
        <v>17.308800000000002</v>
      </c>
      <c r="C976" s="63">
        <f>17.3088 * CHOOSE(CONTROL!$C$22, $C$13, 100%, $E$13)</f>
        <v>17.308800000000002</v>
      </c>
      <c r="D976" s="63">
        <f>17.3488 * CHOOSE(CONTROL!$C$22, $C$13, 100%, $E$13)</f>
        <v>17.348800000000001</v>
      </c>
      <c r="E976" s="64">
        <f>20.5951 * CHOOSE(CONTROL!$C$22, $C$13, 100%, $E$13)</f>
        <v>20.595099999999999</v>
      </c>
      <c r="F976" s="64">
        <f>20.5951 * CHOOSE(CONTROL!$C$22, $C$13, 100%, $E$13)</f>
        <v>20.595099999999999</v>
      </c>
      <c r="G976" s="64">
        <f>20.5976 * CHOOSE(CONTROL!$C$22, $C$13, 100%, $E$13)</f>
        <v>20.5976</v>
      </c>
      <c r="H976" s="64">
        <f>33.0666* CHOOSE(CONTROL!$C$22, $C$13, 100%, $E$13)</f>
        <v>33.066600000000001</v>
      </c>
      <c r="I976" s="64">
        <f>33.0691 * CHOOSE(CONTROL!$C$22, $C$13, 100%, $E$13)</f>
        <v>33.069099999999999</v>
      </c>
      <c r="J976" s="64">
        <f>20.5951 * CHOOSE(CONTROL!$C$22, $C$13, 100%, $E$13)</f>
        <v>20.595099999999999</v>
      </c>
      <c r="K976" s="64">
        <f>20.5976 * CHOOSE(CONTROL!$C$22, $C$13, 100%, $E$13)</f>
        <v>20.5976</v>
      </c>
    </row>
    <row r="977" spans="1:11" ht="15">
      <c r="A977" s="13">
        <v>71376</v>
      </c>
      <c r="B977" s="63">
        <f>17.3149 * CHOOSE(CONTROL!$C$22, $C$13, 100%, $E$13)</f>
        <v>17.314900000000002</v>
      </c>
      <c r="C977" s="63">
        <f>17.3149 * CHOOSE(CONTROL!$C$22, $C$13, 100%, $E$13)</f>
        <v>17.314900000000002</v>
      </c>
      <c r="D977" s="63">
        <f>17.3549 * CHOOSE(CONTROL!$C$22, $C$13, 100%, $E$13)</f>
        <v>17.354900000000001</v>
      </c>
      <c r="E977" s="64">
        <f>20.5285 * CHOOSE(CONTROL!$C$22, $C$13, 100%, $E$13)</f>
        <v>20.528500000000001</v>
      </c>
      <c r="F977" s="64">
        <f>20.5285 * CHOOSE(CONTROL!$C$22, $C$13, 100%, $E$13)</f>
        <v>20.528500000000001</v>
      </c>
      <c r="G977" s="64">
        <f>20.531 * CHOOSE(CONTROL!$C$22, $C$13, 100%, $E$13)</f>
        <v>20.530999999999999</v>
      </c>
      <c r="H977" s="64">
        <f>33.1355* CHOOSE(CONTROL!$C$22, $C$13, 100%, $E$13)</f>
        <v>33.1355</v>
      </c>
      <c r="I977" s="64">
        <f>33.138 * CHOOSE(CONTROL!$C$22, $C$13, 100%, $E$13)</f>
        <v>33.137999999999998</v>
      </c>
      <c r="J977" s="64">
        <f>20.5285 * CHOOSE(CONTROL!$C$22, $C$13, 100%, $E$13)</f>
        <v>20.528500000000001</v>
      </c>
      <c r="K977" s="64">
        <f>20.531 * CHOOSE(CONTROL!$C$22, $C$13, 100%, $E$13)</f>
        <v>20.530999999999999</v>
      </c>
    </row>
    <row r="978" spans="1:11" ht="15">
      <c r="A978" s="13">
        <v>71406</v>
      </c>
      <c r="B978" s="63">
        <f>17.5846 * CHOOSE(CONTROL!$C$22, $C$13, 100%, $E$13)</f>
        <v>17.584599999999998</v>
      </c>
      <c r="C978" s="63">
        <f>17.5846 * CHOOSE(CONTROL!$C$22, $C$13, 100%, $E$13)</f>
        <v>17.584599999999998</v>
      </c>
      <c r="D978" s="63">
        <f>17.6245 * CHOOSE(CONTROL!$C$22, $C$13, 100%, $E$13)</f>
        <v>17.624500000000001</v>
      </c>
      <c r="E978" s="64">
        <f>20.9173 * CHOOSE(CONTROL!$C$22, $C$13, 100%, $E$13)</f>
        <v>20.917300000000001</v>
      </c>
      <c r="F978" s="64">
        <f>20.9173 * CHOOSE(CONTROL!$C$22, $C$13, 100%, $E$13)</f>
        <v>20.917300000000001</v>
      </c>
      <c r="G978" s="64">
        <f>20.9198 * CHOOSE(CONTROL!$C$22, $C$13, 100%, $E$13)</f>
        <v>20.919799999999999</v>
      </c>
      <c r="H978" s="64">
        <f>33.2045* CHOOSE(CONTROL!$C$22, $C$13, 100%, $E$13)</f>
        <v>33.204500000000003</v>
      </c>
      <c r="I978" s="64">
        <f>33.207 * CHOOSE(CONTROL!$C$22, $C$13, 100%, $E$13)</f>
        <v>33.207000000000001</v>
      </c>
      <c r="J978" s="64">
        <f>20.9173 * CHOOSE(CONTROL!$C$22, $C$13, 100%, $E$13)</f>
        <v>20.917300000000001</v>
      </c>
      <c r="K978" s="64">
        <f>20.9198 * CHOOSE(CONTROL!$C$22, $C$13, 100%, $E$13)</f>
        <v>20.919799999999999</v>
      </c>
    </row>
    <row r="979" spans="1:11" ht="15">
      <c r="A979" s="13">
        <v>71437</v>
      </c>
      <c r="B979" s="63">
        <f>17.5913 * CHOOSE(CONTROL!$C$22, $C$13, 100%, $E$13)</f>
        <v>17.5913</v>
      </c>
      <c r="C979" s="63">
        <f>17.5913 * CHOOSE(CONTROL!$C$22, $C$13, 100%, $E$13)</f>
        <v>17.5913</v>
      </c>
      <c r="D979" s="63">
        <f>17.6312 * CHOOSE(CONTROL!$C$22, $C$13, 100%, $E$13)</f>
        <v>17.6312</v>
      </c>
      <c r="E979" s="64">
        <f>20.7093 * CHOOSE(CONTROL!$C$22, $C$13, 100%, $E$13)</f>
        <v>20.709299999999999</v>
      </c>
      <c r="F979" s="64">
        <f>20.7093 * CHOOSE(CONTROL!$C$22, $C$13, 100%, $E$13)</f>
        <v>20.709299999999999</v>
      </c>
      <c r="G979" s="64">
        <f>20.7118 * CHOOSE(CONTROL!$C$22, $C$13, 100%, $E$13)</f>
        <v>20.7118</v>
      </c>
      <c r="H979" s="64">
        <f>33.2737* CHOOSE(CONTROL!$C$22, $C$13, 100%, $E$13)</f>
        <v>33.273699999999998</v>
      </c>
      <c r="I979" s="64">
        <f>33.2762 * CHOOSE(CONTROL!$C$22, $C$13, 100%, $E$13)</f>
        <v>33.276200000000003</v>
      </c>
      <c r="J979" s="64">
        <f>20.7093 * CHOOSE(CONTROL!$C$22, $C$13, 100%, $E$13)</f>
        <v>20.709299999999999</v>
      </c>
      <c r="K979" s="64">
        <f>20.7118 * CHOOSE(CONTROL!$C$22, $C$13, 100%, $E$13)</f>
        <v>20.7118</v>
      </c>
    </row>
    <row r="980" spans="1:11" ht="15">
      <c r="A980" s="13">
        <v>71468</v>
      </c>
      <c r="B980" s="63">
        <f>17.5882 * CHOOSE(CONTROL!$C$22, $C$13, 100%, $E$13)</f>
        <v>17.588200000000001</v>
      </c>
      <c r="C980" s="63">
        <f>17.5882 * CHOOSE(CONTROL!$C$22, $C$13, 100%, $E$13)</f>
        <v>17.588200000000001</v>
      </c>
      <c r="D980" s="63">
        <f>17.6282 * CHOOSE(CONTROL!$C$22, $C$13, 100%, $E$13)</f>
        <v>17.6282</v>
      </c>
      <c r="E980" s="64">
        <f>20.6836 * CHOOSE(CONTROL!$C$22, $C$13, 100%, $E$13)</f>
        <v>20.683599999999998</v>
      </c>
      <c r="F980" s="64">
        <f>20.6836 * CHOOSE(CONTROL!$C$22, $C$13, 100%, $E$13)</f>
        <v>20.683599999999998</v>
      </c>
      <c r="G980" s="64">
        <f>20.6861 * CHOOSE(CONTROL!$C$22, $C$13, 100%, $E$13)</f>
        <v>20.6861</v>
      </c>
      <c r="H980" s="64">
        <f>33.343* CHOOSE(CONTROL!$C$22, $C$13, 100%, $E$13)</f>
        <v>33.343000000000004</v>
      </c>
      <c r="I980" s="64">
        <f>33.3455 * CHOOSE(CONTROL!$C$22, $C$13, 100%, $E$13)</f>
        <v>33.345500000000001</v>
      </c>
      <c r="J980" s="64">
        <f>20.6836 * CHOOSE(CONTROL!$C$22, $C$13, 100%, $E$13)</f>
        <v>20.683599999999998</v>
      </c>
      <c r="K980" s="64">
        <f>20.6861 * CHOOSE(CONTROL!$C$22, $C$13, 100%, $E$13)</f>
        <v>20.6861</v>
      </c>
    </row>
    <row r="981" spans="1:11" ht="15">
      <c r="A981" s="13">
        <v>71498</v>
      </c>
      <c r="B981" s="63">
        <f>17.6277 * CHOOSE(CONTROL!$C$22, $C$13, 100%, $E$13)</f>
        <v>17.627700000000001</v>
      </c>
      <c r="C981" s="63">
        <f>17.6277 * CHOOSE(CONTROL!$C$22, $C$13, 100%, $E$13)</f>
        <v>17.627700000000001</v>
      </c>
      <c r="D981" s="63">
        <f>17.6477 * CHOOSE(CONTROL!$C$22, $C$13, 100%, $E$13)</f>
        <v>17.6477</v>
      </c>
      <c r="E981" s="64">
        <f>20.7647 * CHOOSE(CONTROL!$C$22, $C$13, 100%, $E$13)</f>
        <v>20.764700000000001</v>
      </c>
      <c r="F981" s="64">
        <f>20.7647 * CHOOSE(CONTROL!$C$22, $C$13, 100%, $E$13)</f>
        <v>20.764700000000001</v>
      </c>
      <c r="G981" s="64">
        <f>20.7649 * CHOOSE(CONTROL!$C$22, $C$13, 100%, $E$13)</f>
        <v>20.764900000000001</v>
      </c>
      <c r="H981" s="64">
        <f>33.4125* CHOOSE(CONTROL!$C$22, $C$13, 100%, $E$13)</f>
        <v>33.412500000000001</v>
      </c>
      <c r="I981" s="64">
        <f>33.4127 * CHOOSE(CONTROL!$C$22, $C$13, 100%, $E$13)</f>
        <v>33.412700000000001</v>
      </c>
      <c r="J981" s="64">
        <f>20.7647 * CHOOSE(CONTROL!$C$22, $C$13, 100%, $E$13)</f>
        <v>20.764700000000001</v>
      </c>
      <c r="K981" s="64">
        <f>20.7649 * CHOOSE(CONTROL!$C$22, $C$13, 100%, $E$13)</f>
        <v>20.764900000000001</v>
      </c>
    </row>
    <row r="982" spans="1:11" ht="15">
      <c r="A982" s="13">
        <v>71529</v>
      </c>
      <c r="B982" s="63">
        <f>17.6307 * CHOOSE(CONTROL!$C$22, $C$13, 100%, $E$13)</f>
        <v>17.630700000000001</v>
      </c>
      <c r="C982" s="63">
        <f>17.6307 * CHOOSE(CONTROL!$C$22, $C$13, 100%, $E$13)</f>
        <v>17.630700000000001</v>
      </c>
      <c r="D982" s="63">
        <f>17.6507 * CHOOSE(CONTROL!$C$22, $C$13, 100%, $E$13)</f>
        <v>17.650700000000001</v>
      </c>
      <c r="E982" s="64">
        <f>20.8141 * CHOOSE(CONTROL!$C$22, $C$13, 100%, $E$13)</f>
        <v>20.8141</v>
      </c>
      <c r="F982" s="64">
        <f>20.8141 * CHOOSE(CONTROL!$C$22, $C$13, 100%, $E$13)</f>
        <v>20.8141</v>
      </c>
      <c r="G982" s="64">
        <f>20.8142 * CHOOSE(CONTROL!$C$22, $C$13, 100%, $E$13)</f>
        <v>20.8142</v>
      </c>
      <c r="H982" s="64">
        <f>33.4821* CHOOSE(CONTROL!$C$22, $C$13, 100%, $E$13)</f>
        <v>33.482100000000003</v>
      </c>
      <c r="I982" s="64">
        <f>33.4823 * CHOOSE(CONTROL!$C$22, $C$13, 100%, $E$13)</f>
        <v>33.482300000000002</v>
      </c>
      <c r="J982" s="64">
        <f>20.8141 * CHOOSE(CONTROL!$C$22, $C$13, 100%, $E$13)</f>
        <v>20.8141</v>
      </c>
      <c r="K982" s="64">
        <f>20.8142 * CHOOSE(CONTROL!$C$22, $C$13, 100%, $E$13)</f>
        <v>20.8142</v>
      </c>
    </row>
    <row r="983" spans="1:11" ht="15">
      <c r="A983" s="13">
        <v>71559</v>
      </c>
      <c r="B983" s="63">
        <f>17.6307 * CHOOSE(CONTROL!$C$22, $C$13, 100%, $E$13)</f>
        <v>17.630700000000001</v>
      </c>
      <c r="C983" s="63">
        <f>17.6307 * CHOOSE(CONTROL!$C$22, $C$13, 100%, $E$13)</f>
        <v>17.630700000000001</v>
      </c>
      <c r="D983" s="63">
        <f>17.6507 * CHOOSE(CONTROL!$C$22, $C$13, 100%, $E$13)</f>
        <v>17.650700000000001</v>
      </c>
      <c r="E983" s="64">
        <f>20.6959 * CHOOSE(CONTROL!$C$22, $C$13, 100%, $E$13)</f>
        <v>20.695900000000002</v>
      </c>
      <c r="F983" s="64">
        <f>20.6959 * CHOOSE(CONTROL!$C$22, $C$13, 100%, $E$13)</f>
        <v>20.695900000000002</v>
      </c>
      <c r="G983" s="64">
        <f>20.6961 * CHOOSE(CONTROL!$C$22, $C$13, 100%, $E$13)</f>
        <v>20.696100000000001</v>
      </c>
      <c r="H983" s="64">
        <f>33.5519* CHOOSE(CONTROL!$C$22, $C$13, 100%, $E$13)</f>
        <v>33.551900000000003</v>
      </c>
      <c r="I983" s="64">
        <f>33.552 * CHOOSE(CONTROL!$C$22, $C$13, 100%, $E$13)</f>
        <v>33.552</v>
      </c>
      <c r="J983" s="64">
        <f>20.6959 * CHOOSE(CONTROL!$C$22, $C$13, 100%, $E$13)</f>
        <v>20.695900000000002</v>
      </c>
      <c r="K983" s="64">
        <f>20.6961 * CHOOSE(CONTROL!$C$22, $C$13, 100%, $E$13)</f>
        <v>20.696100000000001</v>
      </c>
    </row>
    <row r="984" spans="1:11" ht="15">
      <c r="A984" s="13">
        <v>71590</v>
      </c>
      <c r="B984" s="63">
        <f>17.5513 * CHOOSE(CONTROL!$C$22, $C$13, 100%, $E$13)</f>
        <v>17.551300000000001</v>
      </c>
      <c r="C984" s="63">
        <f>17.5513 * CHOOSE(CONTROL!$C$22, $C$13, 100%, $E$13)</f>
        <v>17.551300000000001</v>
      </c>
      <c r="D984" s="63">
        <f>17.5713 * CHOOSE(CONTROL!$C$22, $C$13, 100%, $E$13)</f>
        <v>17.571300000000001</v>
      </c>
      <c r="E984" s="64">
        <f>20.6834 * CHOOSE(CONTROL!$C$22, $C$13, 100%, $E$13)</f>
        <v>20.683399999999999</v>
      </c>
      <c r="F984" s="64">
        <f>20.6834 * CHOOSE(CONTROL!$C$22, $C$13, 100%, $E$13)</f>
        <v>20.683399999999999</v>
      </c>
      <c r="G984" s="64">
        <f>20.6836 * CHOOSE(CONTROL!$C$22, $C$13, 100%, $E$13)</f>
        <v>20.683599999999998</v>
      </c>
      <c r="H984" s="64">
        <f>33.2384* CHOOSE(CONTROL!$C$22, $C$13, 100%, $E$13)</f>
        <v>33.238399999999999</v>
      </c>
      <c r="I984" s="64">
        <f>33.2386 * CHOOSE(CONTROL!$C$22, $C$13, 100%, $E$13)</f>
        <v>33.238599999999998</v>
      </c>
      <c r="J984" s="64">
        <f>20.6834 * CHOOSE(CONTROL!$C$22, $C$13, 100%, $E$13)</f>
        <v>20.683399999999999</v>
      </c>
      <c r="K984" s="64">
        <f>20.6836 * CHOOSE(CONTROL!$C$22, $C$13, 100%, $E$13)</f>
        <v>20.683599999999998</v>
      </c>
    </row>
    <row r="985" spans="1:11" ht="15">
      <c r="A985" s="13">
        <v>71621</v>
      </c>
      <c r="B985" s="63">
        <f>17.5482 * CHOOSE(CONTROL!$C$22, $C$13, 100%, $E$13)</f>
        <v>17.548200000000001</v>
      </c>
      <c r="C985" s="63">
        <f>17.5482 * CHOOSE(CONTROL!$C$22, $C$13, 100%, $E$13)</f>
        <v>17.548200000000001</v>
      </c>
      <c r="D985" s="63">
        <f>17.5682 * CHOOSE(CONTROL!$C$22, $C$13, 100%, $E$13)</f>
        <v>17.568200000000001</v>
      </c>
      <c r="E985" s="64">
        <f>20.4549 * CHOOSE(CONTROL!$C$22, $C$13, 100%, $E$13)</f>
        <v>20.454899999999999</v>
      </c>
      <c r="F985" s="64">
        <f>20.4549 * CHOOSE(CONTROL!$C$22, $C$13, 100%, $E$13)</f>
        <v>20.454899999999999</v>
      </c>
      <c r="G985" s="64">
        <f>20.455 * CHOOSE(CONTROL!$C$22, $C$13, 100%, $E$13)</f>
        <v>20.454999999999998</v>
      </c>
      <c r="H985" s="64">
        <f>33.3076* CHOOSE(CONTROL!$C$22, $C$13, 100%, $E$13)</f>
        <v>33.307600000000001</v>
      </c>
      <c r="I985" s="64">
        <f>33.3078 * CHOOSE(CONTROL!$C$22, $C$13, 100%, $E$13)</f>
        <v>33.3078</v>
      </c>
      <c r="J985" s="64">
        <f>20.4549 * CHOOSE(CONTROL!$C$22, $C$13, 100%, $E$13)</f>
        <v>20.454899999999999</v>
      </c>
      <c r="K985" s="64">
        <f>20.455 * CHOOSE(CONTROL!$C$22, $C$13, 100%, $E$13)</f>
        <v>20.454999999999998</v>
      </c>
    </row>
    <row r="986" spans="1:11" ht="15">
      <c r="A986" s="13">
        <v>71650</v>
      </c>
      <c r="B986" s="63">
        <f>17.5452 * CHOOSE(CONTROL!$C$22, $C$13, 100%, $E$13)</f>
        <v>17.545200000000001</v>
      </c>
      <c r="C986" s="63">
        <f>17.5452 * CHOOSE(CONTROL!$C$22, $C$13, 100%, $E$13)</f>
        <v>17.545200000000001</v>
      </c>
      <c r="D986" s="63">
        <f>17.5652 * CHOOSE(CONTROL!$C$22, $C$13, 100%, $E$13)</f>
        <v>17.565200000000001</v>
      </c>
      <c r="E986" s="64">
        <f>20.6312 * CHOOSE(CONTROL!$C$22, $C$13, 100%, $E$13)</f>
        <v>20.6312</v>
      </c>
      <c r="F986" s="64">
        <f>20.6312 * CHOOSE(CONTROL!$C$22, $C$13, 100%, $E$13)</f>
        <v>20.6312</v>
      </c>
      <c r="G986" s="64">
        <f>20.6314 * CHOOSE(CONTROL!$C$22, $C$13, 100%, $E$13)</f>
        <v>20.631399999999999</v>
      </c>
      <c r="H986" s="64">
        <f>33.377* CHOOSE(CONTROL!$C$22, $C$13, 100%, $E$13)</f>
        <v>33.377000000000002</v>
      </c>
      <c r="I986" s="64">
        <f>33.3772 * CHOOSE(CONTROL!$C$22, $C$13, 100%, $E$13)</f>
        <v>33.377200000000002</v>
      </c>
      <c r="J986" s="64">
        <f>20.6312 * CHOOSE(CONTROL!$C$22, $C$13, 100%, $E$13)</f>
        <v>20.6312</v>
      </c>
      <c r="K986" s="64">
        <f>20.6314 * CHOOSE(CONTROL!$C$22, $C$13, 100%, $E$13)</f>
        <v>20.631399999999999</v>
      </c>
    </row>
    <row r="987" spans="1:11" ht="15">
      <c r="A987" s="13">
        <v>71681</v>
      </c>
      <c r="B987" s="63">
        <f>17.5544 * CHOOSE(CONTROL!$C$22, $C$13, 100%, $E$13)</f>
        <v>17.554400000000001</v>
      </c>
      <c r="C987" s="63">
        <f>17.5544 * CHOOSE(CONTROL!$C$22, $C$13, 100%, $E$13)</f>
        <v>17.554400000000001</v>
      </c>
      <c r="D987" s="63">
        <f>17.5743 * CHOOSE(CONTROL!$C$22, $C$13, 100%, $E$13)</f>
        <v>17.574300000000001</v>
      </c>
      <c r="E987" s="64">
        <f>20.8187 * CHOOSE(CONTROL!$C$22, $C$13, 100%, $E$13)</f>
        <v>20.8187</v>
      </c>
      <c r="F987" s="64">
        <f>20.8187 * CHOOSE(CONTROL!$C$22, $C$13, 100%, $E$13)</f>
        <v>20.8187</v>
      </c>
      <c r="G987" s="64">
        <f>20.8189 * CHOOSE(CONTROL!$C$22, $C$13, 100%, $E$13)</f>
        <v>20.818899999999999</v>
      </c>
      <c r="H987" s="64">
        <f>33.4466* CHOOSE(CONTROL!$C$22, $C$13, 100%, $E$13)</f>
        <v>33.446599999999997</v>
      </c>
      <c r="I987" s="64">
        <f>33.4467 * CHOOSE(CONTROL!$C$22, $C$13, 100%, $E$13)</f>
        <v>33.4467</v>
      </c>
      <c r="J987" s="64">
        <f>20.8187 * CHOOSE(CONTROL!$C$22, $C$13, 100%, $E$13)</f>
        <v>20.8187</v>
      </c>
      <c r="K987" s="64">
        <f>20.8189 * CHOOSE(CONTROL!$C$22, $C$13, 100%, $E$13)</f>
        <v>20.818899999999999</v>
      </c>
    </row>
    <row r="988" spans="1:11" ht="15">
      <c r="A988" s="13">
        <v>71711</v>
      </c>
      <c r="B988" s="63">
        <f>17.5544 * CHOOSE(CONTROL!$C$22, $C$13, 100%, $E$13)</f>
        <v>17.554400000000001</v>
      </c>
      <c r="C988" s="63">
        <f>17.5544 * CHOOSE(CONTROL!$C$22, $C$13, 100%, $E$13)</f>
        <v>17.554400000000001</v>
      </c>
      <c r="D988" s="63">
        <f>17.5943 * CHOOSE(CONTROL!$C$22, $C$13, 100%, $E$13)</f>
        <v>17.5943</v>
      </c>
      <c r="E988" s="64">
        <f>20.8906 * CHOOSE(CONTROL!$C$22, $C$13, 100%, $E$13)</f>
        <v>20.890599999999999</v>
      </c>
      <c r="F988" s="64">
        <f>20.8906 * CHOOSE(CONTROL!$C$22, $C$13, 100%, $E$13)</f>
        <v>20.890599999999999</v>
      </c>
      <c r="G988" s="64">
        <f>20.8931 * CHOOSE(CONTROL!$C$22, $C$13, 100%, $E$13)</f>
        <v>20.8931</v>
      </c>
      <c r="H988" s="64">
        <f>33.5162* CHOOSE(CONTROL!$C$22, $C$13, 100%, $E$13)</f>
        <v>33.516199999999998</v>
      </c>
      <c r="I988" s="64">
        <f>33.5187 * CHOOSE(CONTROL!$C$22, $C$13, 100%, $E$13)</f>
        <v>33.518700000000003</v>
      </c>
      <c r="J988" s="64">
        <f>20.8906 * CHOOSE(CONTROL!$C$22, $C$13, 100%, $E$13)</f>
        <v>20.890599999999999</v>
      </c>
      <c r="K988" s="64">
        <f>20.8931 * CHOOSE(CONTROL!$C$22, $C$13, 100%, $E$13)</f>
        <v>20.8931</v>
      </c>
    </row>
    <row r="989" spans="1:11" ht="15">
      <c r="A989" s="13">
        <v>71742</v>
      </c>
      <c r="B989" s="63">
        <f>17.5604 * CHOOSE(CONTROL!$C$22, $C$13, 100%, $E$13)</f>
        <v>17.560400000000001</v>
      </c>
      <c r="C989" s="63">
        <f>17.5604 * CHOOSE(CONTROL!$C$22, $C$13, 100%, $E$13)</f>
        <v>17.560400000000001</v>
      </c>
      <c r="D989" s="63">
        <f>17.6004 * CHOOSE(CONTROL!$C$22, $C$13, 100%, $E$13)</f>
        <v>17.6004</v>
      </c>
      <c r="E989" s="64">
        <f>20.823 * CHOOSE(CONTROL!$C$22, $C$13, 100%, $E$13)</f>
        <v>20.823</v>
      </c>
      <c r="F989" s="64">
        <f>20.823 * CHOOSE(CONTROL!$C$22, $C$13, 100%, $E$13)</f>
        <v>20.823</v>
      </c>
      <c r="G989" s="64">
        <f>20.8254 * CHOOSE(CONTROL!$C$22, $C$13, 100%, $E$13)</f>
        <v>20.825399999999998</v>
      </c>
      <c r="H989" s="64">
        <f>33.5861* CHOOSE(CONTROL!$C$22, $C$13, 100%, $E$13)</f>
        <v>33.586100000000002</v>
      </c>
      <c r="I989" s="64">
        <f>33.5885 * CHOOSE(CONTROL!$C$22, $C$13, 100%, $E$13)</f>
        <v>33.588500000000003</v>
      </c>
      <c r="J989" s="64">
        <f>20.823 * CHOOSE(CONTROL!$C$22, $C$13, 100%, $E$13)</f>
        <v>20.823</v>
      </c>
      <c r="K989" s="64">
        <f>20.8254 * CHOOSE(CONTROL!$C$22, $C$13, 100%, $E$13)</f>
        <v>20.825399999999998</v>
      </c>
    </row>
    <row r="990" spans="1:11" ht="15">
      <c r="A990" s="13">
        <v>71772</v>
      </c>
      <c r="B990" s="63">
        <f>17.8338 * CHOOSE(CONTROL!$C$22, $C$13, 100%, $E$13)</f>
        <v>17.8338</v>
      </c>
      <c r="C990" s="63">
        <f>17.8338 * CHOOSE(CONTROL!$C$22, $C$13, 100%, $E$13)</f>
        <v>17.8338</v>
      </c>
      <c r="D990" s="63">
        <f>17.8737 * CHOOSE(CONTROL!$C$22, $C$13, 100%, $E$13)</f>
        <v>17.873699999999999</v>
      </c>
      <c r="E990" s="64">
        <f>21.2172 * CHOOSE(CONTROL!$C$22, $C$13, 100%, $E$13)</f>
        <v>21.217199999999998</v>
      </c>
      <c r="F990" s="64">
        <f>21.2172 * CHOOSE(CONTROL!$C$22, $C$13, 100%, $E$13)</f>
        <v>21.217199999999998</v>
      </c>
      <c r="G990" s="64">
        <f>21.2196 * CHOOSE(CONTROL!$C$22, $C$13, 100%, $E$13)</f>
        <v>21.2196</v>
      </c>
      <c r="H990" s="64">
        <f>33.656* CHOOSE(CONTROL!$C$22, $C$13, 100%, $E$13)</f>
        <v>33.655999999999999</v>
      </c>
      <c r="I990" s="64">
        <f>33.6585 * CHOOSE(CONTROL!$C$22, $C$13, 100%, $E$13)</f>
        <v>33.658499999999997</v>
      </c>
      <c r="J990" s="64">
        <f>21.2172 * CHOOSE(CONTROL!$C$22, $C$13, 100%, $E$13)</f>
        <v>21.217199999999998</v>
      </c>
      <c r="K990" s="64">
        <f>21.2196 * CHOOSE(CONTROL!$C$22, $C$13, 100%, $E$13)</f>
        <v>21.2196</v>
      </c>
    </row>
    <row r="991" spans="1:11" ht="15">
      <c r="A991" s="13">
        <v>71803</v>
      </c>
      <c r="B991" s="63">
        <f>17.8405 * CHOOSE(CONTROL!$C$22, $C$13, 100%, $E$13)</f>
        <v>17.840499999999999</v>
      </c>
      <c r="C991" s="63">
        <f>17.8405 * CHOOSE(CONTROL!$C$22, $C$13, 100%, $E$13)</f>
        <v>17.840499999999999</v>
      </c>
      <c r="D991" s="63">
        <f>17.8804 * CHOOSE(CONTROL!$C$22, $C$13, 100%, $E$13)</f>
        <v>17.880400000000002</v>
      </c>
      <c r="E991" s="64">
        <f>21.0062 * CHOOSE(CONTROL!$C$22, $C$13, 100%, $E$13)</f>
        <v>21.0062</v>
      </c>
      <c r="F991" s="64">
        <f>21.0062 * CHOOSE(CONTROL!$C$22, $C$13, 100%, $E$13)</f>
        <v>21.0062</v>
      </c>
      <c r="G991" s="64">
        <f>21.0086 * CHOOSE(CONTROL!$C$22, $C$13, 100%, $E$13)</f>
        <v>21.008600000000001</v>
      </c>
      <c r="H991" s="64">
        <f>33.7262* CHOOSE(CONTROL!$C$22, $C$13, 100%, $E$13)</f>
        <v>33.726199999999999</v>
      </c>
      <c r="I991" s="64">
        <f>33.7286 * CHOOSE(CONTROL!$C$22, $C$13, 100%, $E$13)</f>
        <v>33.7286</v>
      </c>
      <c r="J991" s="64">
        <f>21.0062 * CHOOSE(CONTROL!$C$22, $C$13, 100%, $E$13)</f>
        <v>21.0062</v>
      </c>
      <c r="K991" s="64">
        <f>21.0086 * CHOOSE(CONTROL!$C$22, $C$13, 100%, $E$13)</f>
        <v>21.008600000000001</v>
      </c>
    </row>
    <row r="992" spans="1:11" ht="15">
      <c r="A992" s="13">
        <v>71834</v>
      </c>
      <c r="B992" s="63">
        <f>17.8375 * CHOOSE(CONTROL!$C$22, $C$13, 100%, $E$13)</f>
        <v>17.837499999999999</v>
      </c>
      <c r="C992" s="63">
        <f>17.8375 * CHOOSE(CONTROL!$C$22, $C$13, 100%, $E$13)</f>
        <v>17.837499999999999</v>
      </c>
      <c r="D992" s="63">
        <f>17.8774 * CHOOSE(CONTROL!$C$22, $C$13, 100%, $E$13)</f>
        <v>17.877400000000002</v>
      </c>
      <c r="E992" s="64">
        <f>20.9801 * CHOOSE(CONTROL!$C$22, $C$13, 100%, $E$13)</f>
        <v>20.9801</v>
      </c>
      <c r="F992" s="64">
        <f>20.9801 * CHOOSE(CONTROL!$C$22, $C$13, 100%, $E$13)</f>
        <v>20.9801</v>
      </c>
      <c r="G992" s="64">
        <f>20.9825 * CHOOSE(CONTROL!$C$22, $C$13, 100%, $E$13)</f>
        <v>20.982500000000002</v>
      </c>
      <c r="H992" s="64">
        <f>33.7964* CHOOSE(CONTROL!$C$22, $C$13, 100%, $E$13)</f>
        <v>33.796399999999998</v>
      </c>
      <c r="I992" s="64">
        <f>33.7989 * CHOOSE(CONTROL!$C$22, $C$13, 100%, $E$13)</f>
        <v>33.798900000000003</v>
      </c>
      <c r="J992" s="64">
        <f>20.9801 * CHOOSE(CONTROL!$C$22, $C$13, 100%, $E$13)</f>
        <v>20.9801</v>
      </c>
      <c r="K992" s="64">
        <f>20.9825 * CHOOSE(CONTROL!$C$22, $C$13, 100%, $E$13)</f>
        <v>20.982500000000002</v>
      </c>
    </row>
    <row r="993" spans="1:11" ht="15">
      <c r="A993" s="13">
        <v>71864</v>
      </c>
      <c r="B993" s="63">
        <f>17.8777 * CHOOSE(CONTROL!$C$22, $C$13, 100%, $E$13)</f>
        <v>17.877700000000001</v>
      </c>
      <c r="C993" s="63">
        <f>17.8777 * CHOOSE(CONTROL!$C$22, $C$13, 100%, $E$13)</f>
        <v>17.877700000000001</v>
      </c>
      <c r="D993" s="63">
        <f>17.8977 * CHOOSE(CONTROL!$C$22, $C$13, 100%, $E$13)</f>
        <v>17.8977</v>
      </c>
      <c r="E993" s="64">
        <f>21.0625 * CHOOSE(CONTROL!$C$22, $C$13, 100%, $E$13)</f>
        <v>21.0625</v>
      </c>
      <c r="F993" s="64">
        <f>21.0625 * CHOOSE(CONTROL!$C$22, $C$13, 100%, $E$13)</f>
        <v>21.0625</v>
      </c>
      <c r="G993" s="64">
        <f>21.0627 * CHOOSE(CONTROL!$C$22, $C$13, 100%, $E$13)</f>
        <v>21.0627</v>
      </c>
      <c r="H993" s="64">
        <f>33.8668* CHOOSE(CONTROL!$C$22, $C$13, 100%, $E$13)</f>
        <v>33.866799999999998</v>
      </c>
      <c r="I993" s="64">
        <f>33.867 * CHOOSE(CONTROL!$C$22, $C$13, 100%, $E$13)</f>
        <v>33.866999999999997</v>
      </c>
      <c r="J993" s="64">
        <f>21.0625 * CHOOSE(CONTROL!$C$22, $C$13, 100%, $E$13)</f>
        <v>21.0625</v>
      </c>
      <c r="K993" s="64">
        <f>21.0627 * CHOOSE(CONTROL!$C$22, $C$13, 100%, $E$13)</f>
        <v>21.0627</v>
      </c>
    </row>
    <row r="994" spans="1:11" ht="15">
      <c r="A994" s="13">
        <v>71895</v>
      </c>
      <c r="B994" s="63">
        <f>17.8808 * CHOOSE(CONTROL!$C$22, $C$13, 100%, $E$13)</f>
        <v>17.880800000000001</v>
      </c>
      <c r="C994" s="63">
        <f>17.8808 * CHOOSE(CONTROL!$C$22, $C$13, 100%, $E$13)</f>
        <v>17.880800000000001</v>
      </c>
      <c r="D994" s="63">
        <f>17.9007 * CHOOSE(CONTROL!$C$22, $C$13, 100%, $E$13)</f>
        <v>17.900700000000001</v>
      </c>
      <c r="E994" s="64">
        <f>21.1126 * CHOOSE(CONTROL!$C$22, $C$13, 100%, $E$13)</f>
        <v>21.1126</v>
      </c>
      <c r="F994" s="64">
        <f>21.1126 * CHOOSE(CONTROL!$C$22, $C$13, 100%, $E$13)</f>
        <v>21.1126</v>
      </c>
      <c r="G994" s="64">
        <f>21.1128 * CHOOSE(CONTROL!$C$22, $C$13, 100%, $E$13)</f>
        <v>21.1128</v>
      </c>
      <c r="H994" s="64">
        <f>33.9374* CHOOSE(CONTROL!$C$22, $C$13, 100%, $E$13)</f>
        <v>33.937399999999997</v>
      </c>
      <c r="I994" s="64">
        <f>33.9376 * CHOOSE(CONTROL!$C$22, $C$13, 100%, $E$13)</f>
        <v>33.937600000000003</v>
      </c>
      <c r="J994" s="64">
        <f>21.1126 * CHOOSE(CONTROL!$C$22, $C$13, 100%, $E$13)</f>
        <v>21.1126</v>
      </c>
      <c r="K994" s="64">
        <f>21.1128 * CHOOSE(CONTROL!$C$22, $C$13, 100%, $E$13)</f>
        <v>21.1128</v>
      </c>
    </row>
    <row r="995" spans="1:11" ht="15">
      <c r="A995" s="13">
        <v>71925</v>
      </c>
      <c r="B995" s="63">
        <f>17.8808 * CHOOSE(CONTROL!$C$22, $C$13, 100%, $E$13)</f>
        <v>17.880800000000001</v>
      </c>
      <c r="C995" s="63">
        <f>17.8808 * CHOOSE(CONTROL!$C$22, $C$13, 100%, $E$13)</f>
        <v>17.880800000000001</v>
      </c>
      <c r="D995" s="63">
        <f>17.9007 * CHOOSE(CONTROL!$C$22, $C$13, 100%, $E$13)</f>
        <v>17.900700000000001</v>
      </c>
      <c r="E995" s="64">
        <f>20.9928 * CHOOSE(CONTROL!$C$22, $C$13, 100%, $E$13)</f>
        <v>20.992799999999999</v>
      </c>
      <c r="F995" s="64">
        <f>20.9928 * CHOOSE(CONTROL!$C$22, $C$13, 100%, $E$13)</f>
        <v>20.992799999999999</v>
      </c>
      <c r="G995" s="64">
        <f>20.9929 * CHOOSE(CONTROL!$C$22, $C$13, 100%, $E$13)</f>
        <v>20.992899999999999</v>
      </c>
      <c r="H995" s="64">
        <f>34.0081* CHOOSE(CONTROL!$C$22, $C$13, 100%, $E$13)</f>
        <v>34.008099999999999</v>
      </c>
      <c r="I995" s="64">
        <f>34.0083 * CHOOSE(CONTROL!$C$22, $C$13, 100%, $E$13)</f>
        <v>34.008299999999998</v>
      </c>
      <c r="J995" s="64">
        <f>20.9928 * CHOOSE(CONTROL!$C$22, $C$13, 100%, $E$13)</f>
        <v>20.992799999999999</v>
      </c>
      <c r="K995" s="64">
        <f>20.9929 * CHOOSE(CONTROL!$C$22, $C$13, 100%, $E$13)</f>
        <v>20.992899999999999</v>
      </c>
    </row>
    <row r="996" spans="1:11" ht="15">
      <c r="A996" s="13">
        <v>71956</v>
      </c>
      <c r="B996" s="63">
        <f>17.7966 * CHOOSE(CONTROL!$C$22, $C$13, 100%, $E$13)</f>
        <v>17.796600000000002</v>
      </c>
      <c r="C996" s="63">
        <f>17.7966 * CHOOSE(CONTROL!$C$22, $C$13, 100%, $E$13)</f>
        <v>17.796600000000002</v>
      </c>
      <c r="D996" s="63">
        <f>17.8166 * CHOOSE(CONTROL!$C$22, $C$13, 100%, $E$13)</f>
        <v>17.816600000000001</v>
      </c>
      <c r="E996" s="64">
        <f>20.9758 * CHOOSE(CONTROL!$C$22, $C$13, 100%, $E$13)</f>
        <v>20.9758</v>
      </c>
      <c r="F996" s="64">
        <f>20.9758 * CHOOSE(CONTROL!$C$22, $C$13, 100%, $E$13)</f>
        <v>20.9758</v>
      </c>
      <c r="G996" s="64">
        <f>20.976 * CHOOSE(CONTROL!$C$22, $C$13, 100%, $E$13)</f>
        <v>20.975999999999999</v>
      </c>
      <c r="H996" s="64">
        <f>33.6843* CHOOSE(CONTROL!$C$22, $C$13, 100%, $E$13)</f>
        <v>33.6843</v>
      </c>
      <c r="I996" s="64">
        <f>33.6845 * CHOOSE(CONTROL!$C$22, $C$13, 100%, $E$13)</f>
        <v>33.6845</v>
      </c>
      <c r="J996" s="64">
        <f>20.9758 * CHOOSE(CONTROL!$C$22, $C$13, 100%, $E$13)</f>
        <v>20.9758</v>
      </c>
      <c r="K996" s="64">
        <f>20.976 * CHOOSE(CONTROL!$C$22, $C$13, 100%, $E$13)</f>
        <v>20.975999999999999</v>
      </c>
    </row>
    <row r="997" spans="1:11" ht="15">
      <c r="A997" s="13">
        <v>71987</v>
      </c>
      <c r="B997" s="63">
        <f>17.7936 * CHOOSE(CONTROL!$C$22, $C$13, 100%, $E$13)</f>
        <v>17.793600000000001</v>
      </c>
      <c r="C997" s="63">
        <f>17.7936 * CHOOSE(CONTROL!$C$22, $C$13, 100%, $E$13)</f>
        <v>17.793600000000001</v>
      </c>
      <c r="D997" s="63">
        <f>17.8135 * CHOOSE(CONTROL!$C$22, $C$13, 100%, $E$13)</f>
        <v>17.813500000000001</v>
      </c>
      <c r="E997" s="64">
        <f>20.7441 * CHOOSE(CONTROL!$C$22, $C$13, 100%, $E$13)</f>
        <v>20.7441</v>
      </c>
      <c r="F997" s="64">
        <f>20.7441 * CHOOSE(CONTROL!$C$22, $C$13, 100%, $E$13)</f>
        <v>20.7441</v>
      </c>
      <c r="G997" s="64">
        <f>20.7442 * CHOOSE(CONTROL!$C$22, $C$13, 100%, $E$13)</f>
        <v>20.744199999999999</v>
      </c>
      <c r="H997" s="64">
        <f>33.7545* CHOOSE(CONTROL!$C$22, $C$13, 100%, $E$13)</f>
        <v>33.7545</v>
      </c>
      <c r="I997" s="64">
        <f>33.7546 * CHOOSE(CONTROL!$C$22, $C$13, 100%, $E$13)</f>
        <v>33.754600000000003</v>
      </c>
      <c r="J997" s="64">
        <f>20.7441 * CHOOSE(CONTROL!$C$22, $C$13, 100%, $E$13)</f>
        <v>20.7441</v>
      </c>
      <c r="K997" s="64">
        <f>20.7442 * CHOOSE(CONTROL!$C$22, $C$13, 100%, $E$13)</f>
        <v>20.744199999999999</v>
      </c>
    </row>
    <row r="998" spans="1:11" ht="15">
      <c r="A998" s="13">
        <v>72015</v>
      </c>
      <c r="B998" s="63">
        <f>17.7905 * CHOOSE(CONTROL!$C$22, $C$13, 100%, $E$13)</f>
        <v>17.790500000000002</v>
      </c>
      <c r="C998" s="63">
        <f>17.7905 * CHOOSE(CONTROL!$C$22, $C$13, 100%, $E$13)</f>
        <v>17.790500000000002</v>
      </c>
      <c r="D998" s="63">
        <f>17.8105 * CHOOSE(CONTROL!$C$22, $C$13, 100%, $E$13)</f>
        <v>17.810500000000001</v>
      </c>
      <c r="E998" s="64">
        <f>20.923 * CHOOSE(CONTROL!$C$22, $C$13, 100%, $E$13)</f>
        <v>20.922999999999998</v>
      </c>
      <c r="F998" s="64">
        <f>20.923 * CHOOSE(CONTROL!$C$22, $C$13, 100%, $E$13)</f>
        <v>20.922999999999998</v>
      </c>
      <c r="G998" s="64">
        <f>20.9232 * CHOOSE(CONTROL!$C$22, $C$13, 100%, $E$13)</f>
        <v>20.923200000000001</v>
      </c>
      <c r="H998" s="64">
        <f>33.8248* CHOOSE(CONTROL!$C$22, $C$13, 100%, $E$13)</f>
        <v>33.824800000000003</v>
      </c>
      <c r="I998" s="64">
        <f>33.825 * CHOOSE(CONTROL!$C$22, $C$13, 100%, $E$13)</f>
        <v>33.825000000000003</v>
      </c>
      <c r="J998" s="64">
        <f>20.923 * CHOOSE(CONTROL!$C$22, $C$13, 100%, $E$13)</f>
        <v>20.922999999999998</v>
      </c>
      <c r="K998" s="64">
        <f>20.9232 * CHOOSE(CONTROL!$C$22, $C$13, 100%, $E$13)</f>
        <v>20.923200000000001</v>
      </c>
    </row>
    <row r="999" spans="1:11" ht="15">
      <c r="A999" s="13">
        <v>72046</v>
      </c>
      <c r="B999" s="63">
        <f>17.7999 * CHOOSE(CONTROL!$C$22, $C$13, 100%, $E$13)</f>
        <v>17.799900000000001</v>
      </c>
      <c r="C999" s="63">
        <f>17.7999 * CHOOSE(CONTROL!$C$22, $C$13, 100%, $E$13)</f>
        <v>17.799900000000001</v>
      </c>
      <c r="D999" s="63">
        <f>17.8199 * CHOOSE(CONTROL!$C$22, $C$13, 100%, $E$13)</f>
        <v>17.819900000000001</v>
      </c>
      <c r="E999" s="64">
        <f>21.1132 * CHOOSE(CONTROL!$C$22, $C$13, 100%, $E$13)</f>
        <v>21.113199999999999</v>
      </c>
      <c r="F999" s="64">
        <f>21.1132 * CHOOSE(CONTROL!$C$22, $C$13, 100%, $E$13)</f>
        <v>21.113199999999999</v>
      </c>
      <c r="G999" s="64">
        <f>21.1133 * CHOOSE(CONTROL!$C$22, $C$13, 100%, $E$13)</f>
        <v>21.113299999999999</v>
      </c>
      <c r="H999" s="64">
        <f>33.8952* CHOOSE(CONTROL!$C$22, $C$13, 100%, $E$13)</f>
        <v>33.895200000000003</v>
      </c>
      <c r="I999" s="64">
        <f>33.8954 * CHOOSE(CONTROL!$C$22, $C$13, 100%, $E$13)</f>
        <v>33.895400000000002</v>
      </c>
      <c r="J999" s="64">
        <f>21.1132 * CHOOSE(CONTROL!$C$22, $C$13, 100%, $E$13)</f>
        <v>21.113199999999999</v>
      </c>
      <c r="K999" s="64">
        <f>21.1133 * CHOOSE(CONTROL!$C$22, $C$13, 100%, $E$13)</f>
        <v>21.113299999999999</v>
      </c>
    </row>
    <row r="1000" spans="1:11" ht="15">
      <c r="A1000" s="13">
        <v>72076</v>
      </c>
      <c r="B1000" s="63">
        <f>17.7999 * CHOOSE(CONTROL!$C$22, $C$13, 100%, $E$13)</f>
        <v>17.799900000000001</v>
      </c>
      <c r="C1000" s="63">
        <f>17.7999 * CHOOSE(CONTROL!$C$22, $C$13, 100%, $E$13)</f>
        <v>17.799900000000001</v>
      </c>
      <c r="D1000" s="63">
        <f>17.8398 * CHOOSE(CONTROL!$C$22, $C$13, 100%, $E$13)</f>
        <v>17.8398</v>
      </c>
      <c r="E1000" s="64">
        <f>21.1861 * CHOOSE(CONTROL!$C$22, $C$13, 100%, $E$13)</f>
        <v>21.1861</v>
      </c>
      <c r="F1000" s="64">
        <f>21.1861 * CHOOSE(CONTROL!$C$22, $C$13, 100%, $E$13)</f>
        <v>21.1861</v>
      </c>
      <c r="G1000" s="64">
        <f>21.1885 * CHOOSE(CONTROL!$C$22, $C$13, 100%, $E$13)</f>
        <v>21.188500000000001</v>
      </c>
      <c r="H1000" s="64">
        <f>33.9659* CHOOSE(CONTROL!$C$22, $C$13, 100%, $E$13)</f>
        <v>33.965899999999998</v>
      </c>
      <c r="I1000" s="64">
        <f>33.9683 * CHOOSE(CONTROL!$C$22, $C$13, 100%, $E$13)</f>
        <v>33.968299999999999</v>
      </c>
      <c r="J1000" s="64">
        <f>21.1861 * CHOOSE(CONTROL!$C$22, $C$13, 100%, $E$13)</f>
        <v>21.1861</v>
      </c>
      <c r="K1000" s="64">
        <f>21.1885 * CHOOSE(CONTROL!$C$22, $C$13, 100%, $E$13)</f>
        <v>21.188500000000001</v>
      </c>
    </row>
    <row r="1001" spans="1:11" ht="15">
      <c r="A1001" s="13">
        <v>72107</v>
      </c>
      <c r="B1001" s="63">
        <f>17.806 * CHOOSE(CONTROL!$C$22, $C$13, 100%, $E$13)</f>
        <v>17.806000000000001</v>
      </c>
      <c r="C1001" s="63">
        <f>17.806 * CHOOSE(CONTROL!$C$22, $C$13, 100%, $E$13)</f>
        <v>17.806000000000001</v>
      </c>
      <c r="D1001" s="63">
        <f>17.8459 * CHOOSE(CONTROL!$C$22, $C$13, 100%, $E$13)</f>
        <v>17.8459</v>
      </c>
      <c r="E1001" s="64">
        <f>21.1174 * CHOOSE(CONTROL!$C$22, $C$13, 100%, $E$13)</f>
        <v>21.1174</v>
      </c>
      <c r="F1001" s="64">
        <f>21.1174 * CHOOSE(CONTROL!$C$22, $C$13, 100%, $E$13)</f>
        <v>21.1174</v>
      </c>
      <c r="G1001" s="64">
        <f>21.1198 * CHOOSE(CONTROL!$C$22, $C$13, 100%, $E$13)</f>
        <v>21.119800000000001</v>
      </c>
      <c r="H1001" s="64">
        <f>34.0366* CHOOSE(CONTROL!$C$22, $C$13, 100%, $E$13)</f>
        <v>34.0366</v>
      </c>
      <c r="I1001" s="64">
        <f>34.0391 * CHOOSE(CONTROL!$C$22, $C$13, 100%, $E$13)</f>
        <v>34.039099999999998</v>
      </c>
      <c r="J1001" s="64">
        <f>21.1174 * CHOOSE(CONTROL!$C$22, $C$13, 100%, $E$13)</f>
        <v>21.1174</v>
      </c>
      <c r="K1001" s="64">
        <f>21.1198 * CHOOSE(CONTROL!$C$22, $C$13, 100%, $E$13)</f>
        <v>21.119800000000001</v>
      </c>
    </row>
    <row r="1002" spans="1:11" ht="15">
      <c r="A1002" s="13">
        <v>72137</v>
      </c>
      <c r="B1002" s="63">
        <f>18.083 * CHOOSE(CONTROL!$C$22, $C$13, 100%, $E$13)</f>
        <v>18.082999999999998</v>
      </c>
      <c r="C1002" s="63">
        <f>18.083 * CHOOSE(CONTROL!$C$22, $C$13, 100%, $E$13)</f>
        <v>18.082999999999998</v>
      </c>
      <c r="D1002" s="63">
        <f>18.123 * CHOOSE(CONTROL!$C$22, $C$13, 100%, $E$13)</f>
        <v>18.123000000000001</v>
      </c>
      <c r="E1002" s="64">
        <f>21.5171 * CHOOSE(CONTROL!$C$22, $C$13, 100%, $E$13)</f>
        <v>21.517099999999999</v>
      </c>
      <c r="F1002" s="64">
        <f>21.5171 * CHOOSE(CONTROL!$C$22, $C$13, 100%, $E$13)</f>
        <v>21.517099999999999</v>
      </c>
      <c r="G1002" s="64">
        <f>21.5195 * CHOOSE(CONTROL!$C$22, $C$13, 100%, $E$13)</f>
        <v>21.519500000000001</v>
      </c>
      <c r="H1002" s="64">
        <f>34.1075* CHOOSE(CONTROL!$C$22, $C$13, 100%, $E$13)</f>
        <v>34.107500000000002</v>
      </c>
      <c r="I1002" s="64">
        <f>34.11 * CHOOSE(CONTROL!$C$22, $C$13, 100%, $E$13)</f>
        <v>34.11</v>
      </c>
      <c r="J1002" s="64">
        <f>21.5171 * CHOOSE(CONTROL!$C$22, $C$13, 100%, $E$13)</f>
        <v>21.517099999999999</v>
      </c>
      <c r="K1002" s="64">
        <f>21.5195 * CHOOSE(CONTROL!$C$22, $C$13, 100%, $E$13)</f>
        <v>21.519500000000001</v>
      </c>
    </row>
    <row r="1003" spans="1:11" ht="15">
      <c r="A1003" s="13">
        <v>72168</v>
      </c>
      <c r="B1003" s="63">
        <f>18.0897 * CHOOSE(CONTROL!$C$22, $C$13, 100%, $E$13)</f>
        <v>18.089700000000001</v>
      </c>
      <c r="C1003" s="63">
        <f>18.0897 * CHOOSE(CONTROL!$C$22, $C$13, 100%, $E$13)</f>
        <v>18.089700000000001</v>
      </c>
      <c r="D1003" s="63">
        <f>18.1297 * CHOOSE(CONTROL!$C$22, $C$13, 100%, $E$13)</f>
        <v>18.1297</v>
      </c>
      <c r="E1003" s="64">
        <f>21.303 * CHOOSE(CONTROL!$C$22, $C$13, 100%, $E$13)</f>
        <v>21.303000000000001</v>
      </c>
      <c r="F1003" s="64">
        <f>21.303 * CHOOSE(CONTROL!$C$22, $C$13, 100%, $E$13)</f>
        <v>21.303000000000001</v>
      </c>
      <c r="G1003" s="64">
        <f>21.3055 * CHOOSE(CONTROL!$C$22, $C$13, 100%, $E$13)</f>
        <v>21.305499999999999</v>
      </c>
      <c r="H1003" s="64">
        <f>34.1786* CHOOSE(CONTROL!$C$22, $C$13, 100%, $E$13)</f>
        <v>34.178600000000003</v>
      </c>
      <c r="I1003" s="64">
        <f>34.181 * CHOOSE(CONTROL!$C$22, $C$13, 100%, $E$13)</f>
        <v>34.180999999999997</v>
      </c>
      <c r="J1003" s="64">
        <f>21.303 * CHOOSE(CONTROL!$C$22, $C$13, 100%, $E$13)</f>
        <v>21.303000000000001</v>
      </c>
      <c r="K1003" s="64">
        <f>21.3055 * CHOOSE(CONTROL!$C$22, $C$13, 100%, $E$13)</f>
        <v>21.305499999999999</v>
      </c>
    </row>
    <row r="1004" spans="1:11" ht="15">
      <c r="A1004" s="13">
        <v>72199</v>
      </c>
      <c r="B1004" s="63">
        <f>18.0867 * CHOOSE(CONTROL!$C$22, $C$13, 100%, $E$13)</f>
        <v>18.0867</v>
      </c>
      <c r="C1004" s="63">
        <f>18.0867 * CHOOSE(CONTROL!$C$22, $C$13, 100%, $E$13)</f>
        <v>18.0867</v>
      </c>
      <c r="D1004" s="63">
        <f>18.1266 * CHOOSE(CONTROL!$C$22, $C$13, 100%, $E$13)</f>
        <v>18.1266</v>
      </c>
      <c r="E1004" s="64">
        <f>21.2766 * CHOOSE(CONTROL!$C$22, $C$13, 100%, $E$13)</f>
        <v>21.276599999999998</v>
      </c>
      <c r="F1004" s="64">
        <f>21.2766 * CHOOSE(CONTROL!$C$22, $C$13, 100%, $E$13)</f>
        <v>21.276599999999998</v>
      </c>
      <c r="G1004" s="64">
        <f>21.279 * CHOOSE(CONTROL!$C$22, $C$13, 100%, $E$13)</f>
        <v>21.279</v>
      </c>
      <c r="H1004" s="64">
        <f>34.2498* CHOOSE(CONTROL!$C$22, $C$13, 100%, $E$13)</f>
        <v>34.2498</v>
      </c>
      <c r="I1004" s="64">
        <f>34.2522 * CHOOSE(CONTROL!$C$22, $C$13, 100%, $E$13)</f>
        <v>34.252200000000002</v>
      </c>
      <c r="J1004" s="64">
        <f>21.2766 * CHOOSE(CONTROL!$C$22, $C$13, 100%, $E$13)</f>
        <v>21.276599999999998</v>
      </c>
      <c r="K1004" s="64">
        <f>21.279 * CHOOSE(CONTROL!$C$22, $C$13, 100%, $E$13)</f>
        <v>21.279</v>
      </c>
    </row>
    <row r="1005" spans="1:11" ht="15">
      <c r="A1005" s="13">
        <v>72229</v>
      </c>
      <c r="B1005" s="63">
        <f>18.1277 * CHOOSE(CONTROL!$C$22, $C$13, 100%, $E$13)</f>
        <v>18.127700000000001</v>
      </c>
      <c r="C1005" s="63">
        <f>18.1277 * CHOOSE(CONTROL!$C$22, $C$13, 100%, $E$13)</f>
        <v>18.127700000000001</v>
      </c>
      <c r="D1005" s="63">
        <f>18.1477 * CHOOSE(CONTROL!$C$22, $C$13, 100%, $E$13)</f>
        <v>18.1477</v>
      </c>
      <c r="E1005" s="64">
        <f>21.3604 * CHOOSE(CONTROL!$C$22, $C$13, 100%, $E$13)</f>
        <v>21.360399999999998</v>
      </c>
      <c r="F1005" s="64">
        <f>21.3604 * CHOOSE(CONTROL!$C$22, $C$13, 100%, $E$13)</f>
        <v>21.360399999999998</v>
      </c>
      <c r="G1005" s="64">
        <f>21.3606 * CHOOSE(CONTROL!$C$22, $C$13, 100%, $E$13)</f>
        <v>21.360600000000002</v>
      </c>
      <c r="H1005" s="64">
        <f>34.3211* CHOOSE(CONTROL!$C$22, $C$13, 100%, $E$13)</f>
        <v>34.321100000000001</v>
      </c>
      <c r="I1005" s="64">
        <f>34.3213 * CHOOSE(CONTROL!$C$22, $C$13, 100%, $E$13)</f>
        <v>34.321300000000001</v>
      </c>
      <c r="J1005" s="64">
        <f>21.3604 * CHOOSE(CONTROL!$C$22, $C$13, 100%, $E$13)</f>
        <v>21.360399999999998</v>
      </c>
      <c r="K1005" s="64">
        <f>21.3606 * CHOOSE(CONTROL!$C$22, $C$13, 100%, $E$13)</f>
        <v>21.360600000000002</v>
      </c>
    </row>
    <row r="1006" spans="1:11" ht="15">
      <c r="A1006" s="13">
        <v>72260</v>
      </c>
      <c r="B1006" s="63">
        <f>18.1308 * CHOOSE(CONTROL!$C$22, $C$13, 100%, $E$13)</f>
        <v>18.130800000000001</v>
      </c>
      <c r="C1006" s="63">
        <f>18.1308 * CHOOSE(CONTROL!$C$22, $C$13, 100%, $E$13)</f>
        <v>18.130800000000001</v>
      </c>
      <c r="D1006" s="63">
        <f>18.1508 * CHOOSE(CONTROL!$C$22, $C$13, 100%, $E$13)</f>
        <v>18.1508</v>
      </c>
      <c r="E1006" s="64">
        <f>21.4111 * CHOOSE(CONTROL!$C$22, $C$13, 100%, $E$13)</f>
        <v>21.411100000000001</v>
      </c>
      <c r="F1006" s="64">
        <f>21.4111 * CHOOSE(CONTROL!$C$22, $C$13, 100%, $E$13)</f>
        <v>21.411100000000001</v>
      </c>
      <c r="G1006" s="64">
        <f>21.4113 * CHOOSE(CONTROL!$C$22, $C$13, 100%, $E$13)</f>
        <v>21.411300000000001</v>
      </c>
      <c r="H1006" s="64">
        <f>34.3927* CHOOSE(CONTROL!$C$22, $C$13, 100%, $E$13)</f>
        <v>34.392699999999998</v>
      </c>
      <c r="I1006" s="64">
        <f>34.3928 * CHOOSE(CONTROL!$C$22, $C$13, 100%, $E$13)</f>
        <v>34.392800000000001</v>
      </c>
      <c r="J1006" s="64">
        <f>21.4111 * CHOOSE(CONTROL!$C$22, $C$13, 100%, $E$13)</f>
        <v>21.411100000000001</v>
      </c>
      <c r="K1006" s="64">
        <f>21.4113 * CHOOSE(CONTROL!$C$22, $C$13, 100%, $E$13)</f>
        <v>21.411300000000001</v>
      </c>
    </row>
    <row r="1007" spans="1:11" ht="15">
      <c r="A1007" s="13">
        <v>72290</v>
      </c>
      <c r="B1007" s="63">
        <f>18.1308 * CHOOSE(CONTROL!$C$22, $C$13, 100%, $E$13)</f>
        <v>18.130800000000001</v>
      </c>
      <c r="C1007" s="63">
        <f>18.1308 * CHOOSE(CONTROL!$C$22, $C$13, 100%, $E$13)</f>
        <v>18.130800000000001</v>
      </c>
      <c r="D1007" s="63">
        <f>18.1508 * CHOOSE(CONTROL!$C$22, $C$13, 100%, $E$13)</f>
        <v>18.1508</v>
      </c>
      <c r="E1007" s="64">
        <f>21.2896 * CHOOSE(CONTROL!$C$22, $C$13, 100%, $E$13)</f>
        <v>21.2896</v>
      </c>
      <c r="F1007" s="64">
        <f>21.2896 * CHOOSE(CONTROL!$C$22, $C$13, 100%, $E$13)</f>
        <v>21.2896</v>
      </c>
      <c r="G1007" s="64">
        <f>21.2898 * CHOOSE(CONTROL!$C$22, $C$13, 100%, $E$13)</f>
        <v>21.2898</v>
      </c>
      <c r="H1007" s="64">
        <f>34.4643* CHOOSE(CONTROL!$C$22, $C$13, 100%, $E$13)</f>
        <v>34.464300000000001</v>
      </c>
      <c r="I1007" s="64">
        <f>34.4645 * CHOOSE(CONTROL!$C$22, $C$13, 100%, $E$13)</f>
        <v>34.464500000000001</v>
      </c>
      <c r="J1007" s="64">
        <f>21.2896 * CHOOSE(CONTROL!$C$22, $C$13, 100%, $E$13)</f>
        <v>21.2896</v>
      </c>
      <c r="K1007" s="64">
        <f>21.2898 * CHOOSE(CONTROL!$C$22, $C$13, 100%, $E$13)</f>
        <v>21.2898</v>
      </c>
    </row>
    <row r="1008" spans="1:11" ht="15">
      <c r="A1008" s="13">
        <v>72321</v>
      </c>
      <c r="B1008" s="63">
        <f>18.0419 * CHOOSE(CONTROL!$C$22, $C$13, 100%, $E$13)</f>
        <v>18.041899999999998</v>
      </c>
      <c r="C1008" s="63">
        <f>18.0419 * CHOOSE(CONTROL!$C$22, $C$13, 100%, $E$13)</f>
        <v>18.041899999999998</v>
      </c>
      <c r="D1008" s="63">
        <f>18.0619 * CHOOSE(CONTROL!$C$22, $C$13, 100%, $E$13)</f>
        <v>18.061900000000001</v>
      </c>
      <c r="E1008" s="64">
        <f>21.2682 * CHOOSE(CONTROL!$C$22, $C$13, 100%, $E$13)</f>
        <v>21.2682</v>
      </c>
      <c r="F1008" s="64">
        <f>21.2682 * CHOOSE(CONTROL!$C$22, $C$13, 100%, $E$13)</f>
        <v>21.2682</v>
      </c>
      <c r="G1008" s="64">
        <f>21.2684 * CHOOSE(CONTROL!$C$22, $C$13, 100%, $E$13)</f>
        <v>21.2684</v>
      </c>
      <c r="H1008" s="64">
        <f>34.1302* CHOOSE(CONTROL!$C$22, $C$13, 100%, $E$13)</f>
        <v>34.130200000000002</v>
      </c>
      <c r="I1008" s="64">
        <f>34.1303 * CHOOSE(CONTROL!$C$22, $C$13, 100%, $E$13)</f>
        <v>34.130299999999998</v>
      </c>
      <c r="J1008" s="64">
        <f>21.2682 * CHOOSE(CONTROL!$C$22, $C$13, 100%, $E$13)</f>
        <v>21.2682</v>
      </c>
      <c r="K1008" s="64">
        <f>21.2684 * CHOOSE(CONTROL!$C$22, $C$13, 100%, $E$13)</f>
        <v>21.2684</v>
      </c>
    </row>
    <row r="1009" spans="1:11" ht="15">
      <c r="A1009" s="13">
        <v>72352</v>
      </c>
      <c r="B1009" s="63">
        <f>18.0389 * CHOOSE(CONTROL!$C$22, $C$13, 100%, $E$13)</f>
        <v>18.038900000000002</v>
      </c>
      <c r="C1009" s="63">
        <f>18.0389 * CHOOSE(CONTROL!$C$22, $C$13, 100%, $E$13)</f>
        <v>18.038900000000002</v>
      </c>
      <c r="D1009" s="63">
        <f>18.0589 * CHOOSE(CONTROL!$C$22, $C$13, 100%, $E$13)</f>
        <v>18.058900000000001</v>
      </c>
      <c r="E1009" s="64">
        <f>21.0333 * CHOOSE(CONTROL!$C$22, $C$13, 100%, $E$13)</f>
        <v>21.033300000000001</v>
      </c>
      <c r="F1009" s="64">
        <f>21.0333 * CHOOSE(CONTROL!$C$22, $C$13, 100%, $E$13)</f>
        <v>21.033300000000001</v>
      </c>
      <c r="G1009" s="64">
        <f>21.0334 * CHOOSE(CONTROL!$C$22, $C$13, 100%, $E$13)</f>
        <v>21.0334</v>
      </c>
      <c r="H1009" s="64">
        <f>34.2013* CHOOSE(CONTROL!$C$22, $C$13, 100%, $E$13)</f>
        <v>34.201300000000003</v>
      </c>
      <c r="I1009" s="64">
        <f>34.2015 * CHOOSE(CONTROL!$C$22, $C$13, 100%, $E$13)</f>
        <v>34.201500000000003</v>
      </c>
      <c r="J1009" s="64">
        <f>21.0333 * CHOOSE(CONTROL!$C$22, $C$13, 100%, $E$13)</f>
        <v>21.033300000000001</v>
      </c>
      <c r="K1009" s="64">
        <f>21.0334 * CHOOSE(CONTROL!$C$22, $C$13, 100%, $E$13)</f>
        <v>21.0334</v>
      </c>
    </row>
    <row r="1010" spans="1:11" ht="15">
      <c r="A1010" s="13">
        <v>72380</v>
      </c>
      <c r="B1010" s="63">
        <f>18.0358 * CHOOSE(CONTROL!$C$22, $C$13, 100%, $E$13)</f>
        <v>18.035799999999998</v>
      </c>
      <c r="C1010" s="63">
        <f>18.0358 * CHOOSE(CONTROL!$C$22, $C$13, 100%, $E$13)</f>
        <v>18.035799999999998</v>
      </c>
      <c r="D1010" s="63">
        <f>18.0558 * CHOOSE(CONTROL!$C$22, $C$13, 100%, $E$13)</f>
        <v>18.055800000000001</v>
      </c>
      <c r="E1010" s="64">
        <f>21.2147 * CHOOSE(CONTROL!$C$22, $C$13, 100%, $E$13)</f>
        <v>21.214700000000001</v>
      </c>
      <c r="F1010" s="64">
        <f>21.2147 * CHOOSE(CONTROL!$C$22, $C$13, 100%, $E$13)</f>
        <v>21.214700000000001</v>
      </c>
      <c r="G1010" s="64">
        <f>21.2149 * CHOOSE(CONTROL!$C$22, $C$13, 100%, $E$13)</f>
        <v>21.2149</v>
      </c>
      <c r="H1010" s="64">
        <f>34.2725* CHOOSE(CONTROL!$C$22, $C$13, 100%, $E$13)</f>
        <v>34.272500000000001</v>
      </c>
      <c r="I1010" s="64">
        <f>34.2727 * CHOOSE(CONTROL!$C$22, $C$13, 100%, $E$13)</f>
        <v>34.2727</v>
      </c>
      <c r="J1010" s="64">
        <f>21.2147 * CHOOSE(CONTROL!$C$22, $C$13, 100%, $E$13)</f>
        <v>21.214700000000001</v>
      </c>
      <c r="K1010" s="64">
        <f>21.2149 * CHOOSE(CONTROL!$C$22, $C$13, 100%, $E$13)</f>
        <v>21.2149</v>
      </c>
    </row>
    <row r="1011" spans="1:11" ht="15">
      <c r="A1011" s="13">
        <v>72411</v>
      </c>
      <c r="B1011" s="63">
        <f>18.0454 * CHOOSE(CONTROL!$C$22, $C$13, 100%, $E$13)</f>
        <v>18.045400000000001</v>
      </c>
      <c r="C1011" s="63">
        <f>18.0454 * CHOOSE(CONTROL!$C$22, $C$13, 100%, $E$13)</f>
        <v>18.045400000000001</v>
      </c>
      <c r="D1011" s="63">
        <f>18.0654 * CHOOSE(CONTROL!$C$22, $C$13, 100%, $E$13)</f>
        <v>18.0654</v>
      </c>
      <c r="E1011" s="64">
        <f>21.4076 * CHOOSE(CONTROL!$C$22, $C$13, 100%, $E$13)</f>
        <v>21.407599999999999</v>
      </c>
      <c r="F1011" s="64">
        <f>21.4076 * CHOOSE(CONTROL!$C$22, $C$13, 100%, $E$13)</f>
        <v>21.407599999999999</v>
      </c>
      <c r="G1011" s="64">
        <f>21.4078 * CHOOSE(CONTROL!$C$22, $C$13, 100%, $E$13)</f>
        <v>21.407800000000002</v>
      </c>
      <c r="H1011" s="64">
        <f>34.3439* CHOOSE(CONTROL!$C$22, $C$13, 100%, $E$13)</f>
        <v>34.343899999999998</v>
      </c>
      <c r="I1011" s="64">
        <f>34.3441 * CHOOSE(CONTROL!$C$22, $C$13, 100%, $E$13)</f>
        <v>34.344099999999997</v>
      </c>
      <c r="J1011" s="64">
        <f>21.4076 * CHOOSE(CONTROL!$C$22, $C$13, 100%, $E$13)</f>
        <v>21.407599999999999</v>
      </c>
      <c r="K1011" s="64">
        <f>21.4078 * CHOOSE(CONTROL!$C$22, $C$13, 100%, $E$13)</f>
        <v>21.407800000000002</v>
      </c>
    </row>
    <row r="1012" spans="1:11" ht="15">
      <c r="A1012" s="13">
        <v>72441</v>
      </c>
      <c r="B1012" s="63">
        <f>18.0454 * CHOOSE(CONTROL!$C$22, $C$13, 100%, $E$13)</f>
        <v>18.045400000000001</v>
      </c>
      <c r="C1012" s="63">
        <f>18.0454 * CHOOSE(CONTROL!$C$22, $C$13, 100%, $E$13)</f>
        <v>18.045400000000001</v>
      </c>
      <c r="D1012" s="63">
        <f>18.0854 * CHOOSE(CONTROL!$C$22, $C$13, 100%, $E$13)</f>
        <v>18.0854</v>
      </c>
      <c r="E1012" s="64">
        <f>21.4815 * CHOOSE(CONTROL!$C$22, $C$13, 100%, $E$13)</f>
        <v>21.4815</v>
      </c>
      <c r="F1012" s="64">
        <f>21.4815 * CHOOSE(CONTROL!$C$22, $C$13, 100%, $E$13)</f>
        <v>21.4815</v>
      </c>
      <c r="G1012" s="64">
        <f>21.484 * CHOOSE(CONTROL!$C$22, $C$13, 100%, $E$13)</f>
        <v>21.484000000000002</v>
      </c>
      <c r="H1012" s="64">
        <f>34.4155* CHOOSE(CONTROL!$C$22, $C$13, 100%, $E$13)</f>
        <v>34.415500000000002</v>
      </c>
      <c r="I1012" s="64">
        <f>34.4179 * CHOOSE(CONTROL!$C$22, $C$13, 100%, $E$13)</f>
        <v>34.417900000000003</v>
      </c>
      <c r="J1012" s="64">
        <f>21.4815 * CHOOSE(CONTROL!$C$22, $C$13, 100%, $E$13)</f>
        <v>21.4815</v>
      </c>
      <c r="K1012" s="64">
        <f>21.484 * CHOOSE(CONTROL!$C$22, $C$13, 100%, $E$13)</f>
        <v>21.484000000000002</v>
      </c>
    </row>
    <row r="1013" spans="1:11" ht="15">
      <c r="A1013" s="13">
        <v>72472</v>
      </c>
      <c r="B1013" s="63">
        <f>18.0515 * CHOOSE(CONTROL!$C$22, $C$13, 100%, $E$13)</f>
        <v>18.051500000000001</v>
      </c>
      <c r="C1013" s="63">
        <f>18.0515 * CHOOSE(CONTROL!$C$22, $C$13, 100%, $E$13)</f>
        <v>18.051500000000001</v>
      </c>
      <c r="D1013" s="63">
        <f>18.0914 * CHOOSE(CONTROL!$C$22, $C$13, 100%, $E$13)</f>
        <v>18.0914</v>
      </c>
      <c r="E1013" s="64">
        <f>21.4118 * CHOOSE(CONTROL!$C$22, $C$13, 100%, $E$13)</f>
        <v>21.411799999999999</v>
      </c>
      <c r="F1013" s="64">
        <f>21.4118 * CHOOSE(CONTROL!$C$22, $C$13, 100%, $E$13)</f>
        <v>21.411799999999999</v>
      </c>
      <c r="G1013" s="64">
        <f>21.4143 * CHOOSE(CONTROL!$C$22, $C$13, 100%, $E$13)</f>
        <v>21.414300000000001</v>
      </c>
      <c r="H1013" s="64">
        <f>34.4872* CHOOSE(CONTROL!$C$22, $C$13, 100%, $E$13)</f>
        <v>34.487200000000001</v>
      </c>
      <c r="I1013" s="64">
        <f>34.4896 * CHOOSE(CONTROL!$C$22, $C$13, 100%, $E$13)</f>
        <v>34.489600000000003</v>
      </c>
      <c r="J1013" s="64">
        <f>21.4118 * CHOOSE(CONTROL!$C$22, $C$13, 100%, $E$13)</f>
        <v>21.411799999999999</v>
      </c>
      <c r="K1013" s="64">
        <f>21.4143 * CHOOSE(CONTROL!$C$22, $C$13, 100%, $E$13)</f>
        <v>21.414300000000001</v>
      </c>
    </row>
    <row r="1014" spans="1:11" ht="15">
      <c r="A1014" s="13">
        <v>72502</v>
      </c>
      <c r="B1014" s="63">
        <f>18.3322 * CHOOSE(CONTROL!$C$22, $C$13, 100%, $E$13)</f>
        <v>18.3322</v>
      </c>
      <c r="C1014" s="63">
        <f>18.3322 * CHOOSE(CONTROL!$C$22, $C$13, 100%, $E$13)</f>
        <v>18.3322</v>
      </c>
      <c r="D1014" s="63">
        <f>18.3722 * CHOOSE(CONTROL!$C$22, $C$13, 100%, $E$13)</f>
        <v>18.372199999999999</v>
      </c>
      <c r="E1014" s="64">
        <f>21.817 * CHOOSE(CONTROL!$C$22, $C$13, 100%, $E$13)</f>
        <v>21.817</v>
      </c>
      <c r="F1014" s="64">
        <f>21.817 * CHOOSE(CONTROL!$C$22, $C$13, 100%, $E$13)</f>
        <v>21.817</v>
      </c>
      <c r="G1014" s="64">
        <f>21.8194 * CHOOSE(CONTROL!$C$22, $C$13, 100%, $E$13)</f>
        <v>21.819400000000002</v>
      </c>
      <c r="H1014" s="64">
        <f>34.559* CHOOSE(CONTROL!$C$22, $C$13, 100%, $E$13)</f>
        <v>34.558999999999997</v>
      </c>
      <c r="I1014" s="64">
        <f>34.5615 * CHOOSE(CONTROL!$C$22, $C$13, 100%, $E$13)</f>
        <v>34.561500000000002</v>
      </c>
      <c r="J1014" s="64">
        <f>21.817 * CHOOSE(CONTROL!$C$22, $C$13, 100%, $E$13)</f>
        <v>21.817</v>
      </c>
      <c r="K1014" s="64">
        <f>21.8194 * CHOOSE(CONTROL!$C$22, $C$13, 100%, $E$13)</f>
        <v>21.819400000000002</v>
      </c>
    </row>
    <row r="1015" spans="1:11" ht="15">
      <c r="A1015" s="13">
        <v>72533</v>
      </c>
      <c r="B1015" s="63">
        <f>18.3389 * CHOOSE(CONTROL!$C$22, $C$13, 100%, $E$13)</f>
        <v>18.338899999999999</v>
      </c>
      <c r="C1015" s="63">
        <f>18.3389 * CHOOSE(CONTROL!$C$22, $C$13, 100%, $E$13)</f>
        <v>18.338899999999999</v>
      </c>
      <c r="D1015" s="63">
        <f>18.3789 * CHOOSE(CONTROL!$C$22, $C$13, 100%, $E$13)</f>
        <v>18.378900000000002</v>
      </c>
      <c r="E1015" s="64">
        <f>21.5998 * CHOOSE(CONTROL!$C$22, $C$13, 100%, $E$13)</f>
        <v>21.599799999999998</v>
      </c>
      <c r="F1015" s="64">
        <f>21.5998 * CHOOSE(CONTROL!$C$22, $C$13, 100%, $E$13)</f>
        <v>21.599799999999998</v>
      </c>
      <c r="G1015" s="64">
        <f>21.6023 * CHOOSE(CONTROL!$C$22, $C$13, 100%, $E$13)</f>
        <v>21.6023</v>
      </c>
      <c r="H1015" s="64">
        <f>34.631* CHOOSE(CONTROL!$C$22, $C$13, 100%, $E$13)</f>
        <v>34.631</v>
      </c>
      <c r="I1015" s="64">
        <f>34.6335 * CHOOSE(CONTROL!$C$22, $C$13, 100%, $E$13)</f>
        <v>34.633499999999998</v>
      </c>
      <c r="J1015" s="64">
        <f>21.5998 * CHOOSE(CONTROL!$C$22, $C$13, 100%, $E$13)</f>
        <v>21.599799999999998</v>
      </c>
      <c r="K1015" s="64">
        <f>21.6023 * CHOOSE(CONTROL!$C$22, $C$13, 100%, $E$13)</f>
        <v>21.6023</v>
      </c>
    </row>
    <row r="1016" spans="1:11" ht="15">
      <c r="A1016" s="13">
        <v>72564</v>
      </c>
      <c r="B1016" s="63">
        <f>18.3359 * CHOOSE(CONTROL!$C$22, $C$13, 100%, $E$13)</f>
        <v>18.335899999999999</v>
      </c>
      <c r="C1016" s="63">
        <f>18.3359 * CHOOSE(CONTROL!$C$22, $C$13, 100%, $E$13)</f>
        <v>18.335899999999999</v>
      </c>
      <c r="D1016" s="63">
        <f>18.3758 * CHOOSE(CONTROL!$C$22, $C$13, 100%, $E$13)</f>
        <v>18.375800000000002</v>
      </c>
      <c r="E1016" s="64">
        <f>21.5731 * CHOOSE(CONTROL!$C$22, $C$13, 100%, $E$13)</f>
        <v>21.5731</v>
      </c>
      <c r="F1016" s="64">
        <f>21.5731 * CHOOSE(CONTROL!$C$22, $C$13, 100%, $E$13)</f>
        <v>21.5731</v>
      </c>
      <c r="G1016" s="64">
        <f>21.5755 * CHOOSE(CONTROL!$C$22, $C$13, 100%, $E$13)</f>
        <v>21.575500000000002</v>
      </c>
      <c r="H1016" s="64">
        <f>34.7032* CHOOSE(CONTROL!$C$22, $C$13, 100%, $E$13)</f>
        <v>34.703200000000002</v>
      </c>
      <c r="I1016" s="64">
        <f>34.7056 * CHOOSE(CONTROL!$C$22, $C$13, 100%, $E$13)</f>
        <v>34.705599999999997</v>
      </c>
      <c r="J1016" s="64">
        <f>21.5731 * CHOOSE(CONTROL!$C$22, $C$13, 100%, $E$13)</f>
        <v>21.5731</v>
      </c>
      <c r="K1016" s="64">
        <f>21.5755 * CHOOSE(CONTROL!$C$22, $C$13, 100%, $E$13)</f>
        <v>21.575500000000002</v>
      </c>
    </row>
    <row r="1017" spans="1:11" ht="15">
      <c r="A1017" s="13">
        <v>72594</v>
      </c>
      <c r="B1017" s="63">
        <f>18.3778 * CHOOSE(CONTROL!$C$22, $C$13, 100%, $E$13)</f>
        <v>18.377800000000001</v>
      </c>
      <c r="C1017" s="63">
        <f>18.3778 * CHOOSE(CONTROL!$C$22, $C$13, 100%, $E$13)</f>
        <v>18.377800000000001</v>
      </c>
      <c r="D1017" s="63">
        <f>18.3977 * CHOOSE(CONTROL!$C$22, $C$13, 100%, $E$13)</f>
        <v>18.3977</v>
      </c>
      <c r="E1017" s="64">
        <f>21.6582 * CHOOSE(CONTROL!$C$22, $C$13, 100%, $E$13)</f>
        <v>21.658200000000001</v>
      </c>
      <c r="F1017" s="64">
        <f>21.6582 * CHOOSE(CONTROL!$C$22, $C$13, 100%, $E$13)</f>
        <v>21.658200000000001</v>
      </c>
      <c r="G1017" s="64">
        <f>21.6584 * CHOOSE(CONTROL!$C$22, $C$13, 100%, $E$13)</f>
        <v>21.6584</v>
      </c>
      <c r="H1017" s="64">
        <f>34.7755* CHOOSE(CONTROL!$C$22, $C$13, 100%, $E$13)</f>
        <v>34.775500000000001</v>
      </c>
      <c r="I1017" s="64">
        <f>34.7756 * CHOOSE(CONTROL!$C$22, $C$13, 100%, $E$13)</f>
        <v>34.775599999999997</v>
      </c>
      <c r="J1017" s="64">
        <f>21.6582 * CHOOSE(CONTROL!$C$22, $C$13, 100%, $E$13)</f>
        <v>21.658200000000001</v>
      </c>
      <c r="K1017" s="64">
        <f>21.6584 * CHOOSE(CONTROL!$C$22, $C$13, 100%, $E$13)</f>
        <v>21.6584</v>
      </c>
    </row>
    <row r="1018" spans="1:11" ht="15">
      <c r="A1018" s="13">
        <v>72625</v>
      </c>
      <c r="B1018" s="63">
        <f>18.3808 * CHOOSE(CONTROL!$C$22, $C$13, 100%, $E$13)</f>
        <v>18.380800000000001</v>
      </c>
      <c r="C1018" s="63">
        <f>18.3808 * CHOOSE(CONTROL!$C$22, $C$13, 100%, $E$13)</f>
        <v>18.380800000000001</v>
      </c>
      <c r="D1018" s="63">
        <f>18.4008 * CHOOSE(CONTROL!$C$22, $C$13, 100%, $E$13)</f>
        <v>18.4008</v>
      </c>
      <c r="E1018" s="64">
        <f>21.7096 * CHOOSE(CONTROL!$C$22, $C$13, 100%, $E$13)</f>
        <v>21.709599999999998</v>
      </c>
      <c r="F1018" s="64">
        <f>21.7096 * CHOOSE(CONTROL!$C$22, $C$13, 100%, $E$13)</f>
        <v>21.709599999999998</v>
      </c>
      <c r="G1018" s="64">
        <f>21.7098 * CHOOSE(CONTROL!$C$22, $C$13, 100%, $E$13)</f>
        <v>21.709800000000001</v>
      </c>
      <c r="H1018" s="64">
        <f>34.8479* CHOOSE(CONTROL!$C$22, $C$13, 100%, $E$13)</f>
        <v>34.847900000000003</v>
      </c>
      <c r="I1018" s="64">
        <f>34.8481 * CHOOSE(CONTROL!$C$22, $C$13, 100%, $E$13)</f>
        <v>34.848100000000002</v>
      </c>
      <c r="J1018" s="64">
        <f>21.7096 * CHOOSE(CONTROL!$C$22, $C$13, 100%, $E$13)</f>
        <v>21.709599999999998</v>
      </c>
      <c r="K1018" s="64">
        <f>21.7098 * CHOOSE(CONTROL!$C$22, $C$13, 100%, $E$13)</f>
        <v>21.709800000000001</v>
      </c>
    </row>
    <row r="1019" spans="1:11" ht="15">
      <c r="A1019" s="13">
        <v>72655</v>
      </c>
      <c r="B1019" s="63">
        <f>18.3808 * CHOOSE(CONTROL!$C$22, $C$13, 100%, $E$13)</f>
        <v>18.380800000000001</v>
      </c>
      <c r="C1019" s="63">
        <f>18.3808 * CHOOSE(CONTROL!$C$22, $C$13, 100%, $E$13)</f>
        <v>18.380800000000001</v>
      </c>
      <c r="D1019" s="63">
        <f>18.4008 * CHOOSE(CONTROL!$C$22, $C$13, 100%, $E$13)</f>
        <v>18.4008</v>
      </c>
      <c r="E1019" s="64">
        <f>21.5864 * CHOOSE(CONTROL!$C$22, $C$13, 100%, $E$13)</f>
        <v>21.586400000000001</v>
      </c>
      <c r="F1019" s="64">
        <f>21.5864 * CHOOSE(CONTROL!$C$22, $C$13, 100%, $E$13)</f>
        <v>21.586400000000001</v>
      </c>
      <c r="G1019" s="64">
        <f>21.5866 * CHOOSE(CONTROL!$C$22, $C$13, 100%, $E$13)</f>
        <v>21.586600000000001</v>
      </c>
      <c r="H1019" s="64">
        <f>34.9205* CHOOSE(CONTROL!$C$22, $C$13, 100%, $E$13)</f>
        <v>34.920499999999997</v>
      </c>
      <c r="I1019" s="64">
        <f>34.9207 * CHOOSE(CONTROL!$C$22, $C$13, 100%, $E$13)</f>
        <v>34.920699999999997</v>
      </c>
      <c r="J1019" s="64">
        <f>21.5864 * CHOOSE(CONTROL!$C$22, $C$13, 100%, $E$13)</f>
        <v>21.586400000000001</v>
      </c>
      <c r="K1019" s="64">
        <f>21.5866 * CHOOSE(CONTROL!$C$22, $C$13, 100%, $E$13)</f>
        <v>21.586600000000001</v>
      </c>
    </row>
    <row r="1020" spans="1:11" ht="15">
      <c r="A1020" s="13">
        <v>72686</v>
      </c>
      <c r="B1020" s="63">
        <f>18.2872 * CHOOSE(CONTROL!$C$22, $C$13, 100%, $E$13)</f>
        <v>18.287199999999999</v>
      </c>
      <c r="C1020" s="63">
        <f>18.2872 * CHOOSE(CONTROL!$C$22, $C$13, 100%, $E$13)</f>
        <v>18.287199999999999</v>
      </c>
      <c r="D1020" s="63">
        <f>18.3072 * CHOOSE(CONTROL!$C$22, $C$13, 100%, $E$13)</f>
        <v>18.307200000000002</v>
      </c>
      <c r="E1020" s="64">
        <f>21.5606 * CHOOSE(CONTROL!$C$22, $C$13, 100%, $E$13)</f>
        <v>21.560600000000001</v>
      </c>
      <c r="F1020" s="64">
        <f>21.5606 * CHOOSE(CONTROL!$C$22, $C$13, 100%, $E$13)</f>
        <v>21.560600000000001</v>
      </c>
      <c r="G1020" s="64">
        <f>21.5608 * CHOOSE(CONTROL!$C$22, $C$13, 100%, $E$13)</f>
        <v>21.5608</v>
      </c>
      <c r="H1020" s="64">
        <f>34.5761* CHOOSE(CONTROL!$C$22, $C$13, 100%, $E$13)</f>
        <v>34.576099999999997</v>
      </c>
      <c r="I1020" s="64">
        <f>34.5762 * CHOOSE(CONTROL!$C$22, $C$13, 100%, $E$13)</f>
        <v>34.5762</v>
      </c>
      <c r="J1020" s="64">
        <f>21.5606 * CHOOSE(CONTROL!$C$22, $C$13, 100%, $E$13)</f>
        <v>21.560600000000001</v>
      </c>
      <c r="K1020" s="64">
        <f>21.5608 * CHOOSE(CONTROL!$C$22, $C$13, 100%, $E$13)</f>
        <v>21.5608</v>
      </c>
    </row>
    <row r="1021" spans="1:11" ht="15">
      <c r="A1021" s="13">
        <v>72717</v>
      </c>
      <c r="B1021" s="63">
        <f>18.2842 * CHOOSE(CONTROL!$C$22, $C$13, 100%, $E$13)</f>
        <v>18.284199999999998</v>
      </c>
      <c r="C1021" s="63">
        <f>18.2842 * CHOOSE(CONTROL!$C$22, $C$13, 100%, $E$13)</f>
        <v>18.284199999999998</v>
      </c>
      <c r="D1021" s="63">
        <f>18.3042 * CHOOSE(CONTROL!$C$22, $C$13, 100%, $E$13)</f>
        <v>18.304200000000002</v>
      </c>
      <c r="E1021" s="64">
        <f>21.3225 * CHOOSE(CONTROL!$C$22, $C$13, 100%, $E$13)</f>
        <v>21.322500000000002</v>
      </c>
      <c r="F1021" s="64">
        <f>21.3225 * CHOOSE(CONTROL!$C$22, $C$13, 100%, $E$13)</f>
        <v>21.322500000000002</v>
      </c>
      <c r="G1021" s="64">
        <f>21.3227 * CHOOSE(CONTROL!$C$22, $C$13, 100%, $E$13)</f>
        <v>21.322700000000001</v>
      </c>
      <c r="H1021" s="64">
        <f>34.6481* CHOOSE(CONTROL!$C$22, $C$13, 100%, $E$13)</f>
        <v>34.648099999999999</v>
      </c>
      <c r="I1021" s="64">
        <f>34.6483 * CHOOSE(CONTROL!$C$22, $C$13, 100%, $E$13)</f>
        <v>34.648299999999999</v>
      </c>
      <c r="J1021" s="64">
        <f>21.3225 * CHOOSE(CONTROL!$C$22, $C$13, 100%, $E$13)</f>
        <v>21.322500000000002</v>
      </c>
      <c r="K1021" s="64">
        <f>21.3227 * CHOOSE(CONTROL!$C$22, $C$13, 100%, $E$13)</f>
        <v>21.322700000000001</v>
      </c>
    </row>
    <row r="1022" spans="1:11" ht="15">
      <c r="A1022" s="13">
        <v>72745</v>
      </c>
      <c r="B1022" s="63">
        <f>18.2812 * CHOOSE(CONTROL!$C$22, $C$13, 100%, $E$13)</f>
        <v>18.281199999999998</v>
      </c>
      <c r="C1022" s="63">
        <f>18.2812 * CHOOSE(CONTROL!$C$22, $C$13, 100%, $E$13)</f>
        <v>18.281199999999998</v>
      </c>
      <c r="D1022" s="63">
        <f>18.3011 * CHOOSE(CONTROL!$C$22, $C$13, 100%, $E$13)</f>
        <v>18.301100000000002</v>
      </c>
      <c r="E1022" s="64">
        <f>21.5064 * CHOOSE(CONTROL!$C$22, $C$13, 100%, $E$13)</f>
        <v>21.506399999999999</v>
      </c>
      <c r="F1022" s="64">
        <f>21.5064 * CHOOSE(CONTROL!$C$22, $C$13, 100%, $E$13)</f>
        <v>21.506399999999999</v>
      </c>
      <c r="G1022" s="64">
        <f>21.5066 * CHOOSE(CONTROL!$C$22, $C$13, 100%, $E$13)</f>
        <v>21.506599999999999</v>
      </c>
      <c r="H1022" s="64">
        <f>34.7203* CHOOSE(CONTROL!$C$22, $C$13, 100%, $E$13)</f>
        <v>34.720300000000002</v>
      </c>
      <c r="I1022" s="64">
        <f>34.7205 * CHOOSE(CONTROL!$C$22, $C$13, 100%, $E$13)</f>
        <v>34.720500000000001</v>
      </c>
      <c r="J1022" s="64">
        <f>21.5064 * CHOOSE(CONTROL!$C$22, $C$13, 100%, $E$13)</f>
        <v>21.506399999999999</v>
      </c>
      <c r="K1022" s="64">
        <f>21.5066 * CHOOSE(CONTROL!$C$22, $C$13, 100%, $E$13)</f>
        <v>21.506599999999999</v>
      </c>
    </row>
    <row r="1023" spans="1:11" ht="15">
      <c r="A1023" s="13">
        <v>72776</v>
      </c>
      <c r="B1023" s="63">
        <f>18.2909 * CHOOSE(CONTROL!$C$22, $C$13, 100%, $E$13)</f>
        <v>18.290900000000001</v>
      </c>
      <c r="C1023" s="63">
        <f>18.2909 * CHOOSE(CONTROL!$C$22, $C$13, 100%, $E$13)</f>
        <v>18.290900000000001</v>
      </c>
      <c r="D1023" s="63">
        <f>18.3109 * CHOOSE(CONTROL!$C$22, $C$13, 100%, $E$13)</f>
        <v>18.3109</v>
      </c>
      <c r="E1023" s="64">
        <f>21.7021 * CHOOSE(CONTROL!$C$22, $C$13, 100%, $E$13)</f>
        <v>21.702100000000002</v>
      </c>
      <c r="F1023" s="64">
        <f>21.7021 * CHOOSE(CONTROL!$C$22, $C$13, 100%, $E$13)</f>
        <v>21.702100000000002</v>
      </c>
      <c r="G1023" s="64">
        <f>21.7022 * CHOOSE(CONTROL!$C$22, $C$13, 100%, $E$13)</f>
        <v>21.702200000000001</v>
      </c>
      <c r="H1023" s="64">
        <f>34.7926* CHOOSE(CONTROL!$C$22, $C$13, 100%, $E$13)</f>
        <v>34.7926</v>
      </c>
      <c r="I1023" s="64">
        <f>34.7928 * CHOOSE(CONTROL!$C$22, $C$13, 100%, $E$13)</f>
        <v>34.7928</v>
      </c>
      <c r="J1023" s="64">
        <f>21.7021 * CHOOSE(CONTROL!$C$22, $C$13, 100%, $E$13)</f>
        <v>21.702100000000002</v>
      </c>
      <c r="K1023" s="64">
        <f>21.7022 * CHOOSE(CONTROL!$C$22, $C$13, 100%, $E$13)</f>
        <v>21.702200000000001</v>
      </c>
    </row>
    <row r="1024" spans="1:11" ht="15">
      <c r="A1024" s="13">
        <v>72806</v>
      </c>
      <c r="B1024" s="63">
        <f>18.2909 * CHOOSE(CONTROL!$C$22, $C$13, 100%, $E$13)</f>
        <v>18.290900000000001</v>
      </c>
      <c r="C1024" s="63">
        <f>18.2909 * CHOOSE(CONTROL!$C$22, $C$13, 100%, $E$13)</f>
        <v>18.290900000000001</v>
      </c>
      <c r="D1024" s="63">
        <f>18.3309 * CHOOSE(CONTROL!$C$22, $C$13, 100%, $E$13)</f>
        <v>18.3309</v>
      </c>
      <c r="E1024" s="64">
        <f>21.777 * CHOOSE(CONTROL!$C$22, $C$13, 100%, $E$13)</f>
        <v>21.777000000000001</v>
      </c>
      <c r="F1024" s="64">
        <f>21.777 * CHOOSE(CONTROL!$C$22, $C$13, 100%, $E$13)</f>
        <v>21.777000000000001</v>
      </c>
      <c r="G1024" s="64">
        <f>21.7794 * CHOOSE(CONTROL!$C$22, $C$13, 100%, $E$13)</f>
        <v>21.779399999999999</v>
      </c>
      <c r="H1024" s="64">
        <f>34.8651* CHOOSE(CONTROL!$C$22, $C$13, 100%, $E$13)</f>
        <v>34.865099999999998</v>
      </c>
      <c r="I1024" s="64">
        <f>34.8675 * CHOOSE(CONTROL!$C$22, $C$13, 100%, $E$13)</f>
        <v>34.8675</v>
      </c>
      <c r="J1024" s="64">
        <f>21.777 * CHOOSE(CONTROL!$C$22, $C$13, 100%, $E$13)</f>
        <v>21.777000000000001</v>
      </c>
      <c r="K1024" s="64">
        <f>21.7794 * CHOOSE(CONTROL!$C$22, $C$13, 100%, $E$13)</f>
        <v>21.779399999999999</v>
      </c>
    </row>
    <row r="1025" spans="1:11" ht="15">
      <c r="A1025" s="13">
        <v>72837</v>
      </c>
      <c r="B1025" s="63">
        <f>18.297 * CHOOSE(CONTROL!$C$22, $C$13, 100%, $E$13)</f>
        <v>18.297000000000001</v>
      </c>
      <c r="C1025" s="63">
        <f>18.297 * CHOOSE(CONTROL!$C$22, $C$13, 100%, $E$13)</f>
        <v>18.297000000000001</v>
      </c>
      <c r="D1025" s="63">
        <f>18.337 * CHOOSE(CONTROL!$C$22, $C$13, 100%, $E$13)</f>
        <v>18.337</v>
      </c>
      <c r="E1025" s="64">
        <f>21.7063 * CHOOSE(CONTROL!$C$22, $C$13, 100%, $E$13)</f>
        <v>21.706299999999999</v>
      </c>
      <c r="F1025" s="64">
        <f>21.7063 * CHOOSE(CONTROL!$C$22, $C$13, 100%, $E$13)</f>
        <v>21.706299999999999</v>
      </c>
      <c r="G1025" s="64">
        <f>21.7087 * CHOOSE(CONTROL!$C$22, $C$13, 100%, $E$13)</f>
        <v>21.7087</v>
      </c>
      <c r="H1025" s="64">
        <f>34.9377* CHOOSE(CONTROL!$C$22, $C$13, 100%, $E$13)</f>
        <v>34.9377</v>
      </c>
      <c r="I1025" s="64">
        <f>34.9402 * CHOOSE(CONTROL!$C$22, $C$13, 100%, $E$13)</f>
        <v>34.940199999999997</v>
      </c>
      <c r="J1025" s="64">
        <f>21.7063 * CHOOSE(CONTROL!$C$22, $C$13, 100%, $E$13)</f>
        <v>21.706299999999999</v>
      </c>
      <c r="K1025" s="64">
        <f>21.7087 * CHOOSE(CONTROL!$C$22, $C$13, 100%, $E$13)</f>
        <v>21.7087</v>
      </c>
    </row>
    <row r="1026" spans="1:11" ht="15">
      <c r="A1026" s="13">
        <v>72867</v>
      </c>
      <c r="B1026" s="63">
        <f>18.5815 * CHOOSE(CONTROL!$C$22, $C$13, 100%, $E$13)</f>
        <v>18.581499999999998</v>
      </c>
      <c r="C1026" s="63">
        <f>18.5815 * CHOOSE(CONTROL!$C$22, $C$13, 100%, $E$13)</f>
        <v>18.581499999999998</v>
      </c>
      <c r="D1026" s="63">
        <f>18.6214 * CHOOSE(CONTROL!$C$22, $C$13, 100%, $E$13)</f>
        <v>18.621400000000001</v>
      </c>
      <c r="E1026" s="64">
        <f>22.1168 * CHOOSE(CONTROL!$C$22, $C$13, 100%, $E$13)</f>
        <v>22.116800000000001</v>
      </c>
      <c r="F1026" s="64">
        <f>22.1168 * CHOOSE(CONTROL!$C$22, $C$13, 100%, $E$13)</f>
        <v>22.116800000000001</v>
      </c>
      <c r="G1026" s="64">
        <f>22.1193 * CHOOSE(CONTROL!$C$22, $C$13, 100%, $E$13)</f>
        <v>22.119299999999999</v>
      </c>
      <c r="H1026" s="64">
        <f>35.0105* CHOOSE(CONTROL!$C$22, $C$13, 100%, $E$13)</f>
        <v>35.0105</v>
      </c>
      <c r="I1026" s="64">
        <f>35.013 * CHOOSE(CONTROL!$C$22, $C$13, 100%, $E$13)</f>
        <v>35.012999999999998</v>
      </c>
      <c r="J1026" s="64">
        <f>22.1168 * CHOOSE(CONTROL!$C$22, $C$13, 100%, $E$13)</f>
        <v>22.116800000000001</v>
      </c>
      <c r="K1026" s="64">
        <f>22.1193 * CHOOSE(CONTROL!$C$22, $C$13, 100%, $E$13)</f>
        <v>22.119299999999999</v>
      </c>
    </row>
    <row r="1027" spans="1:11" ht="15">
      <c r="A1027" s="13">
        <v>72898</v>
      </c>
      <c r="B1027" s="63">
        <f>18.5881 * CHOOSE(CONTROL!$C$22, $C$13, 100%, $E$13)</f>
        <v>18.588100000000001</v>
      </c>
      <c r="C1027" s="63">
        <f>18.5881 * CHOOSE(CONTROL!$C$22, $C$13, 100%, $E$13)</f>
        <v>18.588100000000001</v>
      </c>
      <c r="D1027" s="63">
        <f>18.6281 * CHOOSE(CONTROL!$C$22, $C$13, 100%, $E$13)</f>
        <v>18.6281</v>
      </c>
      <c r="E1027" s="64">
        <f>21.8967 * CHOOSE(CONTROL!$C$22, $C$13, 100%, $E$13)</f>
        <v>21.896699999999999</v>
      </c>
      <c r="F1027" s="64">
        <f>21.8967 * CHOOSE(CONTROL!$C$22, $C$13, 100%, $E$13)</f>
        <v>21.896699999999999</v>
      </c>
      <c r="G1027" s="64">
        <f>21.8991 * CHOOSE(CONTROL!$C$22, $C$13, 100%, $E$13)</f>
        <v>21.899100000000001</v>
      </c>
      <c r="H1027" s="64">
        <f>35.0835* CHOOSE(CONTROL!$C$22, $C$13, 100%, $E$13)</f>
        <v>35.083500000000001</v>
      </c>
      <c r="I1027" s="64">
        <f>35.0859 * CHOOSE(CONTROL!$C$22, $C$13, 100%, $E$13)</f>
        <v>35.085900000000002</v>
      </c>
      <c r="J1027" s="64">
        <f>21.8967 * CHOOSE(CONTROL!$C$22, $C$13, 100%, $E$13)</f>
        <v>21.896699999999999</v>
      </c>
      <c r="K1027" s="64">
        <f>21.8991 * CHOOSE(CONTROL!$C$22, $C$13, 100%, $E$13)</f>
        <v>21.899100000000001</v>
      </c>
    </row>
    <row r="1028" spans="1:11" ht="15">
      <c r="A1028" s="13">
        <v>72929</v>
      </c>
      <c r="B1028" s="63">
        <f>18.5851 * CHOOSE(CONTROL!$C$22, $C$13, 100%, $E$13)</f>
        <v>18.585100000000001</v>
      </c>
      <c r="C1028" s="63">
        <f>18.5851 * CHOOSE(CONTROL!$C$22, $C$13, 100%, $E$13)</f>
        <v>18.585100000000001</v>
      </c>
      <c r="D1028" s="63">
        <f>18.625 * CHOOSE(CONTROL!$C$22, $C$13, 100%, $E$13)</f>
        <v>18.625</v>
      </c>
      <c r="E1028" s="64">
        <f>21.8696 * CHOOSE(CONTROL!$C$22, $C$13, 100%, $E$13)</f>
        <v>21.869599999999998</v>
      </c>
      <c r="F1028" s="64">
        <f>21.8696 * CHOOSE(CONTROL!$C$22, $C$13, 100%, $E$13)</f>
        <v>21.869599999999998</v>
      </c>
      <c r="G1028" s="64">
        <f>21.872 * CHOOSE(CONTROL!$C$22, $C$13, 100%, $E$13)</f>
        <v>21.872</v>
      </c>
      <c r="H1028" s="64">
        <f>35.1565* CHOOSE(CONTROL!$C$22, $C$13, 100%, $E$13)</f>
        <v>35.156500000000001</v>
      </c>
      <c r="I1028" s="64">
        <f>35.159 * CHOOSE(CONTROL!$C$22, $C$13, 100%, $E$13)</f>
        <v>35.158999999999999</v>
      </c>
      <c r="J1028" s="64">
        <f>21.8696 * CHOOSE(CONTROL!$C$22, $C$13, 100%, $E$13)</f>
        <v>21.869599999999998</v>
      </c>
      <c r="K1028" s="64">
        <f>21.872 * CHOOSE(CONTROL!$C$22, $C$13, 100%, $E$13)</f>
        <v>21.872</v>
      </c>
    </row>
    <row r="1029" spans="1:11" ht="15">
      <c r="A1029" s="13">
        <v>72959</v>
      </c>
      <c r="B1029" s="63">
        <f>18.6278 * CHOOSE(CONTROL!$C$22, $C$13, 100%, $E$13)</f>
        <v>18.627800000000001</v>
      </c>
      <c r="C1029" s="63">
        <f>18.6278 * CHOOSE(CONTROL!$C$22, $C$13, 100%, $E$13)</f>
        <v>18.627800000000001</v>
      </c>
      <c r="D1029" s="63">
        <f>18.6478 * CHOOSE(CONTROL!$C$22, $C$13, 100%, $E$13)</f>
        <v>18.6478</v>
      </c>
      <c r="E1029" s="64">
        <f>21.9561 * CHOOSE(CONTROL!$C$22, $C$13, 100%, $E$13)</f>
        <v>21.956099999999999</v>
      </c>
      <c r="F1029" s="64">
        <f>21.9561 * CHOOSE(CONTROL!$C$22, $C$13, 100%, $E$13)</f>
        <v>21.956099999999999</v>
      </c>
      <c r="G1029" s="64">
        <f>21.9563 * CHOOSE(CONTROL!$C$22, $C$13, 100%, $E$13)</f>
        <v>21.956299999999999</v>
      </c>
      <c r="H1029" s="64">
        <f>35.2298* CHOOSE(CONTROL!$C$22, $C$13, 100%, $E$13)</f>
        <v>35.229799999999997</v>
      </c>
      <c r="I1029" s="64">
        <f>35.23 * CHOOSE(CONTROL!$C$22, $C$13, 100%, $E$13)</f>
        <v>35.229999999999997</v>
      </c>
      <c r="J1029" s="64">
        <f>21.9561 * CHOOSE(CONTROL!$C$22, $C$13, 100%, $E$13)</f>
        <v>21.956099999999999</v>
      </c>
      <c r="K1029" s="64">
        <f>21.9563 * CHOOSE(CONTROL!$C$22, $C$13, 100%, $E$13)</f>
        <v>21.956299999999999</v>
      </c>
    </row>
    <row r="1030" spans="1:11" ht="15">
      <c r="A1030" s="13">
        <v>72990</v>
      </c>
      <c r="B1030" s="63">
        <f>18.6308 * CHOOSE(CONTROL!$C$22, $C$13, 100%, $E$13)</f>
        <v>18.630800000000001</v>
      </c>
      <c r="C1030" s="63">
        <f>18.6308 * CHOOSE(CONTROL!$C$22, $C$13, 100%, $E$13)</f>
        <v>18.630800000000001</v>
      </c>
      <c r="D1030" s="63">
        <f>18.6508 * CHOOSE(CONTROL!$C$22, $C$13, 100%, $E$13)</f>
        <v>18.6508</v>
      </c>
      <c r="E1030" s="64">
        <f>22.0082 * CHOOSE(CONTROL!$C$22, $C$13, 100%, $E$13)</f>
        <v>22.008199999999999</v>
      </c>
      <c r="F1030" s="64">
        <f>22.0082 * CHOOSE(CONTROL!$C$22, $C$13, 100%, $E$13)</f>
        <v>22.008199999999999</v>
      </c>
      <c r="G1030" s="64">
        <f>22.0083 * CHOOSE(CONTROL!$C$22, $C$13, 100%, $E$13)</f>
        <v>22.008299999999998</v>
      </c>
      <c r="H1030" s="64">
        <f>35.3032* CHOOSE(CONTROL!$C$22, $C$13, 100%, $E$13)</f>
        <v>35.303199999999997</v>
      </c>
      <c r="I1030" s="64">
        <f>35.3034 * CHOOSE(CONTROL!$C$22, $C$13, 100%, $E$13)</f>
        <v>35.303400000000003</v>
      </c>
      <c r="J1030" s="64">
        <f>22.0082 * CHOOSE(CONTROL!$C$22, $C$13, 100%, $E$13)</f>
        <v>22.008199999999999</v>
      </c>
      <c r="K1030" s="64">
        <f>22.0083 * CHOOSE(CONTROL!$C$22, $C$13, 100%, $E$13)</f>
        <v>22.008299999999998</v>
      </c>
    </row>
    <row r="1031" spans="1:11" ht="15">
      <c r="A1031" s="13">
        <v>73020</v>
      </c>
      <c r="B1031" s="63">
        <f>18.6308 * CHOOSE(CONTROL!$C$22, $C$13, 100%, $E$13)</f>
        <v>18.630800000000001</v>
      </c>
      <c r="C1031" s="63">
        <f>18.6308 * CHOOSE(CONTROL!$C$22, $C$13, 100%, $E$13)</f>
        <v>18.630800000000001</v>
      </c>
      <c r="D1031" s="63">
        <f>18.6508 * CHOOSE(CONTROL!$C$22, $C$13, 100%, $E$13)</f>
        <v>18.6508</v>
      </c>
      <c r="E1031" s="64">
        <f>21.8833 * CHOOSE(CONTROL!$C$22, $C$13, 100%, $E$13)</f>
        <v>21.883299999999998</v>
      </c>
      <c r="F1031" s="64">
        <f>21.8833 * CHOOSE(CONTROL!$C$22, $C$13, 100%, $E$13)</f>
        <v>21.883299999999998</v>
      </c>
      <c r="G1031" s="64">
        <f>21.8834 * CHOOSE(CONTROL!$C$22, $C$13, 100%, $E$13)</f>
        <v>21.883400000000002</v>
      </c>
      <c r="H1031" s="64">
        <f>35.3767* CHOOSE(CONTROL!$C$22, $C$13, 100%, $E$13)</f>
        <v>35.3767</v>
      </c>
      <c r="I1031" s="64">
        <f>35.3769 * CHOOSE(CONTROL!$C$22, $C$13, 100%, $E$13)</f>
        <v>35.376899999999999</v>
      </c>
      <c r="J1031" s="64">
        <f>21.8833 * CHOOSE(CONTROL!$C$22, $C$13, 100%, $E$13)</f>
        <v>21.883299999999998</v>
      </c>
      <c r="K1031" s="64">
        <f>21.8834 * CHOOSE(CONTROL!$C$22, $C$13, 100%, $E$13)</f>
        <v>21.883400000000002</v>
      </c>
    </row>
    <row r="1032" spans="1:11" ht="15">
      <c r="A1032" s="13">
        <v>73051</v>
      </c>
      <c r="B1032" s="63">
        <f>18.5326 * CHOOSE(CONTROL!$C$22, $C$13, 100%, $E$13)</f>
        <v>18.532599999999999</v>
      </c>
      <c r="C1032" s="63">
        <f>18.5326 * CHOOSE(CONTROL!$C$22, $C$13, 100%, $E$13)</f>
        <v>18.532599999999999</v>
      </c>
      <c r="D1032" s="63">
        <f>18.5525 * CHOOSE(CONTROL!$C$22, $C$13, 100%, $E$13)</f>
        <v>18.552499999999998</v>
      </c>
      <c r="E1032" s="64">
        <f>21.8531 * CHOOSE(CONTROL!$C$22, $C$13, 100%, $E$13)</f>
        <v>21.853100000000001</v>
      </c>
      <c r="F1032" s="64">
        <f>21.8531 * CHOOSE(CONTROL!$C$22, $C$13, 100%, $E$13)</f>
        <v>21.853100000000001</v>
      </c>
      <c r="G1032" s="64">
        <f>21.8532 * CHOOSE(CONTROL!$C$22, $C$13, 100%, $E$13)</f>
        <v>21.853200000000001</v>
      </c>
      <c r="H1032" s="64">
        <f>35.022* CHOOSE(CONTROL!$C$22, $C$13, 100%, $E$13)</f>
        <v>35.021999999999998</v>
      </c>
      <c r="I1032" s="64">
        <f>35.0221 * CHOOSE(CONTROL!$C$22, $C$13, 100%, $E$13)</f>
        <v>35.022100000000002</v>
      </c>
      <c r="J1032" s="64">
        <f>21.8531 * CHOOSE(CONTROL!$C$22, $C$13, 100%, $E$13)</f>
        <v>21.853100000000001</v>
      </c>
      <c r="K1032" s="64">
        <f>21.8532 * CHOOSE(CONTROL!$C$22, $C$13, 100%, $E$13)</f>
        <v>21.853200000000001</v>
      </c>
    </row>
    <row r="1033" spans="1:11" ht="15">
      <c r="A1033" s="13">
        <v>73082</v>
      </c>
      <c r="B1033" s="63">
        <f>18.5295 * CHOOSE(CONTROL!$C$22, $C$13, 100%, $E$13)</f>
        <v>18.529499999999999</v>
      </c>
      <c r="C1033" s="63">
        <f>18.5295 * CHOOSE(CONTROL!$C$22, $C$13, 100%, $E$13)</f>
        <v>18.529499999999999</v>
      </c>
      <c r="D1033" s="63">
        <f>18.5495 * CHOOSE(CONTROL!$C$22, $C$13, 100%, $E$13)</f>
        <v>18.549499999999998</v>
      </c>
      <c r="E1033" s="64">
        <f>21.6117 * CHOOSE(CONTROL!$C$22, $C$13, 100%, $E$13)</f>
        <v>21.611699999999999</v>
      </c>
      <c r="F1033" s="64">
        <f>21.6117 * CHOOSE(CONTROL!$C$22, $C$13, 100%, $E$13)</f>
        <v>21.611699999999999</v>
      </c>
      <c r="G1033" s="64">
        <f>21.6119 * CHOOSE(CONTROL!$C$22, $C$13, 100%, $E$13)</f>
        <v>21.611899999999999</v>
      </c>
      <c r="H1033" s="64">
        <f>35.0949* CHOOSE(CONTROL!$C$22, $C$13, 100%, $E$13)</f>
        <v>35.094900000000003</v>
      </c>
      <c r="I1033" s="64">
        <f>35.0951 * CHOOSE(CONTROL!$C$22, $C$13, 100%, $E$13)</f>
        <v>35.095100000000002</v>
      </c>
      <c r="J1033" s="64">
        <f>21.6117 * CHOOSE(CONTROL!$C$22, $C$13, 100%, $E$13)</f>
        <v>21.611699999999999</v>
      </c>
      <c r="K1033" s="64">
        <f>21.6119 * CHOOSE(CONTROL!$C$22, $C$13, 100%, $E$13)</f>
        <v>21.611899999999999</v>
      </c>
    </row>
    <row r="1034" spans="1:11" ht="15">
      <c r="A1034" s="13">
        <v>73110</v>
      </c>
      <c r="B1034" s="63">
        <f>18.5265 * CHOOSE(CONTROL!$C$22, $C$13, 100%, $E$13)</f>
        <v>18.526499999999999</v>
      </c>
      <c r="C1034" s="63">
        <f>18.5265 * CHOOSE(CONTROL!$C$22, $C$13, 100%, $E$13)</f>
        <v>18.526499999999999</v>
      </c>
      <c r="D1034" s="63">
        <f>18.5464 * CHOOSE(CONTROL!$C$22, $C$13, 100%, $E$13)</f>
        <v>18.546399999999998</v>
      </c>
      <c r="E1034" s="64">
        <f>21.7982 * CHOOSE(CONTROL!$C$22, $C$13, 100%, $E$13)</f>
        <v>21.798200000000001</v>
      </c>
      <c r="F1034" s="64">
        <f>21.7982 * CHOOSE(CONTROL!$C$22, $C$13, 100%, $E$13)</f>
        <v>21.798200000000001</v>
      </c>
      <c r="G1034" s="64">
        <f>21.7984 * CHOOSE(CONTROL!$C$22, $C$13, 100%, $E$13)</f>
        <v>21.798400000000001</v>
      </c>
      <c r="H1034" s="64">
        <f>35.168* CHOOSE(CONTROL!$C$22, $C$13, 100%, $E$13)</f>
        <v>35.167999999999999</v>
      </c>
      <c r="I1034" s="64">
        <f>35.1682 * CHOOSE(CONTROL!$C$22, $C$13, 100%, $E$13)</f>
        <v>35.168199999999999</v>
      </c>
      <c r="J1034" s="64">
        <f>21.7982 * CHOOSE(CONTROL!$C$22, $C$13, 100%, $E$13)</f>
        <v>21.798200000000001</v>
      </c>
      <c r="K1034" s="64">
        <f>21.7984 * CHOOSE(CONTROL!$C$22, $C$13, 100%, $E$13)</f>
        <v>21.798400000000001</v>
      </c>
    </row>
    <row r="1035" spans="1:11" ht="15">
      <c r="A1035" s="13">
        <v>73141</v>
      </c>
      <c r="B1035" s="63">
        <f>18.5365 * CHOOSE(CONTROL!$C$22, $C$13, 100%, $E$13)</f>
        <v>18.5365</v>
      </c>
      <c r="C1035" s="63">
        <f>18.5365 * CHOOSE(CONTROL!$C$22, $C$13, 100%, $E$13)</f>
        <v>18.5365</v>
      </c>
      <c r="D1035" s="63">
        <f>18.5564 * CHOOSE(CONTROL!$C$22, $C$13, 100%, $E$13)</f>
        <v>18.5564</v>
      </c>
      <c r="E1035" s="64">
        <f>21.9965 * CHOOSE(CONTROL!$C$22, $C$13, 100%, $E$13)</f>
        <v>21.996500000000001</v>
      </c>
      <c r="F1035" s="64">
        <f>21.9965 * CHOOSE(CONTROL!$C$22, $C$13, 100%, $E$13)</f>
        <v>21.996500000000001</v>
      </c>
      <c r="G1035" s="64">
        <f>21.9967 * CHOOSE(CONTROL!$C$22, $C$13, 100%, $E$13)</f>
        <v>21.996700000000001</v>
      </c>
      <c r="H1035" s="64">
        <f>35.2413* CHOOSE(CONTROL!$C$22, $C$13, 100%, $E$13)</f>
        <v>35.241300000000003</v>
      </c>
      <c r="I1035" s="64">
        <f>35.2415 * CHOOSE(CONTROL!$C$22, $C$13, 100%, $E$13)</f>
        <v>35.241500000000002</v>
      </c>
      <c r="J1035" s="64">
        <f>21.9965 * CHOOSE(CONTROL!$C$22, $C$13, 100%, $E$13)</f>
        <v>21.996500000000001</v>
      </c>
      <c r="K1035" s="64">
        <f>21.9967 * CHOOSE(CONTROL!$C$22, $C$13, 100%, $E$13)</f>
        <v>21.996700000000001</v>
      </c>
    </row>
    <row r="1036" spans="1:11" ht="15">
      <c r="A1036" s="13">
        <v>73171</v>
      </c>
      <c r="B1036" s="63">
        <f>18.5365 * CHOOSE(CONTROL!$C$22, $C$13, 100%, $E$13)</f>
        <v>18.5365</v>
      </c>
      <c r="C1036" s="63">
        <f>18.5365 * CHOOSE(CONTROL!$C$22, $C$13, 100%, $E$13)</f>
        <v>18.5365</v>
      </c>
      <c r="D1036" s="63">
        <f>18.5764 * CHOOSE(CONTROL!$C$22, $C$13, 100%, $E$13)</f>
        <v>18.5764</v>
      </c>
      <c r="E1036" s="64">
        <f>22.0725 * CHOOSE(CONTROL!$C$22, $C$13, 100%, $E$13)</f>
        <v>22.072500000000002</v>
      </c>
      <c r="F1036" s="64">
        <f>22.0725 * CHOOSE(CONTROL!$C$22, $C$13, 100%, $E$13)</f>
        <v>22.072500000000002</v>
      </c>
      <c r="G1036" s="64">
        <f>22.0749 * CHOOSE(CONTROL!$C$22, $C$13, 100%, $E$13)</f>
        <v>22.0749</v>
      </c>
      <c r="H1036" s="64">
        <f>35.3147* CHOOSE(CONTROL!$C$22, $C$13, 100%, $E$13)</f>
        <v>35.314700000000002</v>
      </c>
      <c r="I1036" s="64">
        <f>35.3172 * CHOOSE(CONTROL!$C$22, $C$13, 100%, $E$13)</f>
        <v>35.3172</v>
      </c>
      <c r="J1036" s="64">
        <f>22.0725 * CHOOSE(CONTROL!$C$22, $C$13, 100%, $E$13)</f>
        <v>22.072500000000002</v>
      </c>
      <c r="K1036" s="64">
        <f>22.0749 * CHOOSE(CONTROL!$C$22, $C$13, 100%, $E$13)</f>
        <v>22.0749</v>
      </c>
    </row>
    <row r="1037" spans="1:11" ht="15">
      <c r="A1037" s="13">
        <v>73202</v>
      </c>
      <c r="B1037" s="63">
        <f>18.5425 * CHOOSE(CONTROL!$C$22, $C$13, 100%, $E$13)</f>
        <v>18.5425</v>
      </c>
      <c r="C1037" s="63">
        <f>18.5425 * CHOOSE(CONTROL!$C$22, $C$13, 100%, $E$13)</f>
        <v>18.5425</v>
      </c>
      <c r="D1037" s="63">
        <f>18.5825 * CHOOSE(CONTROL!$C$22, $C$13, 100%, $E$13)</f>
        <v>18.5825</v>
      </c>
      <c r="E1037" s="64">
        <f>22.0007 * CHOOSE(CONTROL!$C$22, $C$13, 100%, $E$13)</f>
        <v>22.000699999999998</v>
      </c>
      <c r="F1037" s="64">
        <f>22.0007 * CHOOSE(CONTROL!$C$22, $C$13, 100%, $E$13)</f>
        <v>22.000699999999998</v>
      </c>
      <c r="G1037" s="64">
        <f>22.0032 * CHOOSE(CONTROL!$C$22, $C$13, 100%, $E$13)</f>
        <v>22.0032</v>
      </c>
      <c r="H1037" s="64">
        <f>35.3883* CHOOSE(CONTROL!$C$22, $C$13, 100%, $E$13)</f>
        <v>35.388300000000001</v>
      </c>
      <c r="I1037" s="64">
        <f>35.3907 * CHOOSE(CONTROL!$C$22, $C$13, 100%, $E$13)</f>
        <v>35.390700000000002</v>
      </c>
      <c r="J1037" s="64">
        <f>22.0007 * CHOOSE(CONTROL!$C$22, $C$13, 100%, $E$13)</f>
        <v>22.000699999999998</v>
      </c>
      <c r="K1037" s="64">
        <f>22.0032 * CHOOSE(CONTROL!$C$22, $C$13, 100%, $E$13)</f>
        <v>22.0032</v>
      </c>
    </row>
    <row r="1038" spans="1:11" ht="15">
      <c r="A1038" s="13">
        <v>73232</v>
      </c>
      <c r="B1038" s="63">
        <f>18.8307 * CHOOSE(CONTROL!$C$22, $C$13, 100%, $E$13)</f>
        <v>18.8307</v>
      </c>
      <c r="C1038" s="63">
        <f>18.8307 * CHOOSE(CONTROL!$C$22, $C$13, 100%, $E$13)</f>
        <v>18.8307</v>
      </c>
      <c r="D1038" s="63">
        <f>18.8706 * CHOOSE(CONTROL!$C$22, $C$13, 100%, $E$13)</f>
        <v>18.8706</v>
      </c>
      <c r="E1038" s="64">
        <f>22.4167 * CHOOSE(CONTROL!$C$22, $C$13, 100%, $E$13)</f>
        <v>22.416699999999999</v>
      </c>
      <c r="F1038" s="64">
        <f>22.4167 * CHOOSE(CONTROL!$C$22, $C$13, 100%, $E$13)</f>
        <v>22.416699999999999</v>
      </c>
      <c r="G1038" s="64">
        <f>22.4192 * CHOOSE(CONTROL!$C$22, $C$13, 100%, $E$13)</f>
        <v>22.4192</v>
      </c>
      <c r="H1038" s="64">
        <f>35.462* CHOOSE(CONTROL!$C$22, $C$13, 100%, $E$13)</f>
        <v>35.462000000000003</v>
      </c>
      <c r="I1038" s="64">
        <f>35.4645 * CHOOSE(CONTROL!$C$22, $C$13, 100%, $E$13)</f>
        <v>35.464500000000001</v>
      </c>
      <c r="J1038" s="64">
        <f>22.4167 * CHOOSE(CONTROL!$C$22, $C$13, 100%, $E$13)</f>
        <v>22.416699999999999</v>
      </c>
      <c r="K1038" s="64">
        <f>22.4192 * CHOOSE(CONTROL!$C$22, $C$13, 100%, $E$13)</f>
        <v>22.4192</v>
      </c>
    </row>
    <row r="1039" spans="1:11" ht="15">
      <c r="A1039" s="13">
        <v>73263</v>
      </c>
      <c r="B1039" s="63">
        <f>18.8374 * CHOOSE(CONTROL!$C$22, $C$13, 100%, $E$13)</f>
        <v>18.837399999999999</v>
      </c>
      <c r="C1039" s="63">
        <f>18.8374 * CHOOSE(CONTROL!$C$22, $C$13, 100%, $E$13)</f>
        <v>18.837399999999999</v>
      </c>
      <c r="D1039" s="63">
        <f>18.8773 * CHOOSE(CONTROL!$C$22, $C$13, 100%, $E$13)</f>
        <v>18.877300000000002</v>
      </c>
      <c r="E1039" s="64">
        <f>22.1935 * CHOOSE(CONTROL!$C$22, $C$13, 100%, $E$13)</f>
        <v>22.1935</v>
      </c>
      <c r="F1039" s="64">
        <f>22.1935 * CHOOSE(CONTROL!$C$22, $C$13, 100%, $E$13)</f>
        <v>22.1935</v>
      </c>
      <c r="G1039" s="64">
        <f>22.1959 * CHOOSE(CONTROL!$C$22, $C$13, 100%, $E$13)</f>
        <v>22.195900000000002</v>
      </c>
      <c r="H1039" s="64">
        <f>35.5359* CHOOSE(CONTROL!$C$22, $C$13, 100%, $E$13)</f>
        <v>35.535899999999998</v>
      </c>
      <c r="I1039" s="64">
        <f>35.5383 * CHOOSE(CONTROL!$C$22, $C$13, 100%, $E$13)</f>
        <v>35.5383</v>
      </c>
      <c r="J1039" s="64">
        <f>22.1935 * CHOOSE(CONTROL!$C$22, $C$13, 100%, $E$13)</f>
        <v>22.1935</v>
      </c>
      <c r="K1039" s="64">
        <f>22.1959 * CHOOSE(CONTROL!$C$22, $C$13, 100%, $E$13)</f>
        <v>22.195900000000002</v>
      </c>
    </row>
    <row r="1040" spans="1:11" ht="15">
      <c r="A1040" s="13">
        <v>73294</v>
      </c>
      <c r="B1040" s="63">
        <f>18.8343 * CHOOSE(CONTROL!$C$22, $C$13, 100%, $E$13)</f>
        <v>18.834299999999999</v>
      </c>
      <c r="C1040" s="63">
        <f>18.8343 * CHOOSE(CONTROL!$C$22, $C$13, 100%, $E$13)</f>
        <v>18.834299999999999</v>
      </c>
      <c r="D1040" s="63">
        <f>18.8743 * CHOOSE(CONTROL!$C$22, $C$13, 100%, $E$13)</f>
        <v>18.874300000000002</v>
      </c>
      <c r="E1040" s="64">
        <f>22.1661 * CHOOSE(CONTROL!$C$22, $C$13, 100%, $E$13)</f>
        <v>22.1661</v>
      </c>
      <c r="F1040" s="64">
        <f>22.1661 * CHOOSE(CONTROL!$C$22, $C$13, 100%, $E$13)</f>
        <v>22.1661</v>
      </c>
      <c r="G1040" s="64">
        <f>22.1685 * CHOOSE(CONTROL!$C$22, $C$13, 100%, $E$13)</f>
        <v>22.168500000000002</v>
      </c>
      <c r="H1040" s="64">
        <f>35.6099* CHOOSE(CONTROL!$C$22, $C$13, 100%, $E$13)</f>
        <v>35.609900000000003</v>
      </c>
      <c r="I1040" s="64">
        <f>35.6124 * CHOOSE(CONTROL!$C$22, $C$13, 100%, $E$13)</f>
        <v>35.612400000000001</v>
      </c>
      <c r="J1040" s="64">
        <f>22.1661 * CHOOSE(CONTROL!$C$22, $C$13, 100%, $E$13)</f>
        <v>22.1661</v>
      </c>
      <c r="K1040" s="64">
        <f>22.1685 * CHOOSE(CONTROL!$C$22, $C$13, 100%, $E$13)</f>
        <v>22.168500000000002</v>
      </c>
    </row>
    <row r="1041" spans="1:11" ht="15">
      <c r="A1041" s="13">
        <v>73324</v>
      </c>
      <c r="B1041" s="63">
        <f>18.8778 * CHOOSE(CONTROL!$C$22, $C$13, 100%, $E$13)</f>
        <v>18.877800000000001</v>
      </c>
      <c r="C1041" s="63">
        <f>18.8778 * CHOOSE(CONTROL!$C$22, $C$13, 100%, $E$13)</f>
        <v>18.877800000000001</v>
      </c>
      <c r="D1041" s="63">
        <f>18.8978 * CHOOSE(CONTROL!$C$22, $C$13, 100%, $E$13)</f>
        <v>18.8978</v>
      </c>
      <c r="E1041" s="64">
        <f>22.2539 * CHOOSE(CONTROL!$C$22, $C$13, 100%, $E$13)</f>
        <v>22.253900000000002</v>
      </c>
      <c r="F1041" s="64">
        <f>22.2539 * CHOOSE(CONTROL!$C$22, $C$13, 100%, $E$13)</f>
        <v>22.253900000000002</v>
      </c>
      <c r="G1041" s="64">
        <f>22.2541 * CHOOSE(CONTROL!$C$22, $C$13, 100%, $E$13)</f>
        <v>22.254100000000001</v>
      </c>
      <c r="H1041" s="64">
        <f>35.6841* CHOOSE(CONTROL!$C$22, $C$13, 100%, $E$13)</f>
        <v>35.684100000000001</v>
      </c>
      <c r="I1041" s="64">
        <f>35.6843 * CHOOSE(CONTROL!$C$22, $C$13, 100%, $E$13)</f>
        <v>35.6843</v>
      </c>
      <c r="J1041" s="64">
        <f>22.2539 * CHOOSE(CONTROL!$C$22, $C$13, 100%, $E$13)</f>
        <v>22.253900000000002</v>
      </c>
      <c r="K1041" s="64">
        <f>22.2541 * CHOOSE(CONTROL!$C$22, $C$13, 100%, $E$13)</f>
        <v>22.254100000000001</v>
      </c>
    </row>
    <row r="1042" spans="1:11" ht="15">
      <c r="A1042" s="13">
        <v>73355</v>
      </c>
      <c r="B1042" s="63">
        <f>18.8808 * CHOOSE(CONTROL!$C$22, $C$13, 100%, $E$13)</f>
        <v>18.880800000000001</v>
      </c>
      <c r="C1042" s="63">
        <f>18.8808 * CHOOSE(CONTROL!$C$22, $C$13, 100%, $E$13)</f>
        <v>18.880800000000001</v>
      </c>
      <c r="D1042" s="63">
        <f>18.9008 * CHOOSE(CONTROL!$C$22, $C$13, 100%, $E$13)</f>
        <v>18.9008</v>
      </c>
      <c r="E1042" s="64">
        <f>22.3067 * CHOOSE(CONTROL!$C$22, $C$13, 100%, $E$13)</f>
        <v>22.306699999999999</v>
      </c>
      <c r="F1042" s="64">
        <f>22.3067 * CHOOSE(CONTROL!$C$22, $C$13, 100%, $E$13)</f>
        <v>22.306699999999999</v>
      </c>
      <c r="G1042" s="64">
        <f>22.3069 * CHOOSE(CONTROL!$C$22, $C$13, 100%, $E$13)</f>
        <v>22.306899999999999</v>
      </c>
      <c r="H1042" s="64">
        <f>35.7585* CHOOSE(CONTROL!$C$22, $C$13, 100%, $E$13)</f>
        <v>35.758499999999998</v>
      </c>
      <c r="I1042" s="64">
        <f>35.7586 * CHOOSE(CONTROL!$C$22, $C$13, 100%, $E$13)</f>
        <v>35.758600000000001</v>
      </c>
      <c r="J1042" s="64">
        <f>22.3067 * CHOOSE(CONTROL!$C$22, $C$13, 100%, $E$13)</f>
        <v>22.306699999999999</v>
      </c>
      <c r="K1042" s="64">
        <f>22.3069 * CHOOSE(CONTROL!$C$22, $C$13, 100%, $E$13)</f>
        <v>22.306899999999999</v>
      </c>
    </row>
    <row r="1043" spans="1:11" ht="15">
      <c r="A1043" s="13">
        <v>73385</v>
      </c>
      <c r="B1043" s="63">
        <f>18.8808 * CHOOSE(CONTROL!$C$22, $C$13, 100%, $E$13)</f>
        <v>18.880800000000001</v>
      </c>
      <c r="C1043" s="63">
        <f>18.8808 * CHOOSE(CONTROL!$C$22, $C$13, 100%, $E$13)</f>
        <v>18.880800000000001</v>
      </c>
      <c r="D1043" s="63">
        <f>18.9008 * CHOOSE(CONTROL!$C$22, $C$13, 100%, $E$13)</f>
        <v>18.9008</v>
      </c>
      <c r="E1043" s="64">
        <f>22.1801 * CHOOSE(CONTROL!$C$22, $C$13, 100%, $E$13)</f>
        <v>22.180099999999999</v>
      </c>
      <c r="F1043" s="64">
        <f>22.1801 * CHOOSE(CONTROL!$C$22, $C$13, 100%, $E$13)</f>
        <v>22.180099999999999</v>
      </c>
      <c r="G1043" s="64">
        <f>22.1803 * CHOOSE(CONTROL!$C$22, $C$13, 100%, $E$13)</f>
        <v>22.180299999999999</v>
      </c>
      <c r="H1043" s="64">
        <f>35.833* CHOOSE(CONTROL!$C$22, $C$13, 100%, $E$13)</f>
        <v>35.832999999999998</v>
      </c>
      <c r="I1043" s="64">
        <f>35.8331 * CHOOSE(CONTROL!$C$22, $C$13, 100%, $E$13)</f>
        <v>35.833100000000002</v>
      </c>
      <c r="J1043" s="64">
        <f>22.1801 * CHOOSE(CONTROL!$C$22, $C$13, 100%, $E$13)</f>
        <v>22.180099999999999</v>
      </c>
      <c r="K1043" s="64">
        <f>22.1803 * CHOOSE(CONTROL!$C$22, $C$13, 100%, $E$13)</f>
        <v>22.180299999999999</v>
      </c>
    </row>
    <row r="1044" spans="1:11" ht="15">
      <c r="A1044" s="10"/>
      <c r="B1044" s="63"/>
      <c r="C1044" s="63"/>
      <c r="D1044" s="63"/>
      <c r="E1044" s="64"/>
      <c r="F1044" s="64"/>
      <c r="G1044" s="64"/>
      <c r="H1044" s="64"/>
      <c r="I1044" s="64"/>
      <c r="J1044" s="64"/>
      <c r="K1044" s="64"/>
    </row>
    <row r="1045" spans="1:11" ht="15">
      <c r="A1045" s="3">
        <v>2015</v>
      </c>
      <c r="B1045" s="63">
        <f t="shared" ref="B1045:K1045" si="0">AVERAGE(B17:B23)</f>
        <v>2.2334857142857145</v>
      </c>
      <c r="C1045" s="63">
        <f t="shared" si="0"/>
        <v>2.2334857142857145</v>
      </c>
      <c r="D1045" s="63">
        <f t="shared" si="0"/>
        <v>2.2648714285714289</v>
      </c>
      <c r="E1045" s="63">
        <f t="shared" si="0"/>
        <v>3.317185714285714</v>
      </c>
      <c r="F1045" s="63">
        <f t="shared" si="0"/>
        <v>4.0599999999999996</v>
      </c>
      <c r="G1045" s="63">
        <f t="shared" si="0"/>
        <v>4.0614571428571438</v>
      </c>
      <c r="H1045" s="63">
        <f t="shared" si="0"/>
        <v>5.6835714285714278</v>
      </c>
      <c r="I1045" s="63">
        <f t="shared" si="0"/>
        <v>5.6850571428571417</v>
      </c>
      <c r="J1045" s="63">
        <f t="shared" si="0"/>
        <v>3.317185714285714</v>
      </c>
      <c r="K1045" s="63">
        <f t="shared" si="0"/>
        <v>3.3186571428571421</v>
      </c>
    </row>
    <row r="1046" spans="1:11" ht="15">
      <c r="A1046" s="3">
        <v>2016</v>
      </c>
      <c r="B1046" s="63">
        <f t="shared" ref="B1046:K1046" si="1">AVERAGE(B24:B35)</f>
        <v>2.6408833333333335</v>
      </c>
      <c r="C1046" s="63">
        <f t="shared" si="1"/>
        <v>2.6408833333333335</v>
      </c>
      <c r="D1046" s="63">
        <f t="shared" si="1"/>
        <v>2.6691666666666669</v>
      </c>
      <c r="E1046" s="63">
        <f t="shared" si="1"/>
        <v>3.361966666666667</v>
      </c>
      <c r="F1046" s="63">
        <f t="shared" si="1"/>
        <v>4.0214166666666662</v>
      </c>
      <c r="G1046" s="63">
        <f t="shared" si="1"/>
        <v>4.0225333333333344</v>
      </c>
      <c r="H1046" s="63">
        <f t="shared" si="1"/>
        <v>5.7971666666666666</v>
      </c>
      <c r="I1046" s="63">
        <f t="shared" si="1"/>
        <v>5.798283333333333</v>
      </c>
      <c r="J1046" s="63">
        <f t="shared" si="1"/>
        <v>3.361966666666667</v>
      </c>
      <c r="K1046" s="63">
        <f t="shared" si="1"/>
        <v>3.3631000000000006</v>
      </c>
    </row>
    <row r="1047" spans="1:11" ht="15">
      <c r="A1047" s="3">
        <v>2017</v>
      </c>
      <c r="B1047" s="63">
        <f t="shared" ref="B1047:K1047" si="2">AVERAGE(B36:B47)</f>
        <v>2.7329833333333333</v>
      </c>
      <c r="C1047" s="63">
        <f t="shared" si="2"/>
        <v>2.7329833333333333</v>
      </c>
      <c r="D1047" s="63">
        <f t="shared" si="2"/>
        <v>2.7612833333333335</v>
      </c>
      <c r="E1047" s="63">
        <f t="shared" si="2"/>
        <v>3.5132250000000003</v>
      </c>
      <c r="F1047" s="63">
        <f t="shared" si="2"/>
        <v>3.5132250000000003</v>
      </c>
      <c r="G1047" s="63">
        <f t="shared" si="2"/>
        <v>3.5143500000000008</v>
      </c>
      <c r="H1047" s="63">
        <f t="shared" si="2"/>
        <v>5.943766666666666</v>
      </c>
      <c r="I1047" s="63">
        <f t="shared" si="2"/>
        <v>5.9448750000000006</v>
      </c>
      <c r="J1047" s="63">
        <f t="shared" si="2"/>
        <v>3.5132250000000003</v>
      </c>
      <c r="K1047" s="63">
        <f t="shared" si="2"/>
        <v>3.5143500000000008</v>
      </c>
    </row>
    <row r="1048" spans="1:11" ht="15">
      <c r="A1048" s="3">
        <v>2018</v>
      </c>
      <c r="B1048" s="63">
        <f t="shared" ref="B1048:K1048" si="3">AVERAGE(B48:B59)</f>
        <v>2.8547750000000001</v>
      </c>
      <c r="C1048" s="63">
        <f t="shared" si="3"/>
        <v>2.8547750000000001</v>
      </c>
      <c r="D1048" s="63">
        <f t="shared" si="3"/>
        <v>2.883083333333333</v>
      </c>
      <c r="E1048" s="63">
        <f t="shared" si="3"/>
        <v>3.3498833333333331</v>
      </c>
      <c r="F1048" s="63">
        <f t="shared" si="3"/>
        <v>3.3498833333333331</v>
      </c>
      <c r="G1048" s="63">
        <f t="shared" si="3"/>
        <v>3.3509916666666673</v>
      </c>
      <c r="H1048" s="63">
        <f t="shared" si="3"/>
        <v>6.0940916666666674</v>
      </c>
      <c r="I1048" s="63">
        <f t="shared" si="3"/>
        <v>6.0951999999999993</v>
      </c>
      <c r="J1048" s="63">
        <f t="shared" si="3"/>
        <v>3.3498833333333331</v>
      </c>
      <c r="K1048" s="63">
        <f t="shared" si="3"/>
        <v>3.3509916666666673</v>
      </c>
    </row>
    <row r="1049" spans="1:11" ht="15">
      <c r="A1049" s="3">
        <v>2019</v>
      </c>
      <c r="B1049" s="63">
        <f t="shared" ref="B1049:K1049" si="4">AVERAGE(B60:B71)</f>
        <v>2.9488833333333333</v>
      </c>
      <c r="C1049" s="63">
        <f t="shared" si="4"/>
        <v>2.9488833333333333</v>
      </c>
      <c r="D1049" s="63">
        <f t="shared" si="4"/>
        <v>2.9771916666666667</v>
      </c>
      <c r="E1049" s="63">
        <f t="shared" si="4"/>
        <v>3.4520083333333336</v>
      </c>
      <c r="F1049" s="63">
        <f t="shared" si="4"/>
        <v>3.4520083333333336</v>
      </c>
      <c r="G1049" s="63">
        <f t="shared" si="4"/>
        <v>3.4531416666666659</v>
      </c>
      <c r="H1049" s="63">
        <f t="shared" si="4"/>
        <v>6.2481916666666679</v>
      </c>
      <c r="I1049" s="63">
        <f t="shared" si="4"/>
        <v>6.2493249999999998</v>
      </c>
      <c r="J1049" s="63">
        <f t="shared" si="4"/>
        <v>3.4520083333333336</v>
      </c>
      <c r="K1049" s="63">
        <f t="shared" si="4"/>
        <v>3.4531416666666659</v>
      </c>
    </row>
    <row r="1050" spans="1:11" ht="15">
      <c r="A1050" s="3">
        <v>2020</v>
      </c>
      <c r="B1050" s="63">
        <f t="shared" ref="B1050:K1050" si="5">AVERAGE(B72:B83)</f>
        <v>3.0247416666666669</v>
      </c>
      <c r="C1050" s="63">
        <f t="shared" si="5"/>
        <v>3.0247416666666669</v>
      </c>
      <c r="D1050" s="63">
        <f t="shared" si="5"/>
        <v>3.0530166666666667</v>
      </c>
      <c r="E1050" s="63">
        <f t="shared" si="5"/>
        <v>3.5770166666666667</v>
      </c>
      <c r="F1050" s="63">
        <f t="shared" si="5"/>
        <v>3.5770166666666667</v>
      </c>
      <c r="G1050" s="63">
        <f t="shared" si="5"/>
        <v>3.5781499999999995</v>
      </c>
      <c r="H1050" s="63">
        <f t="shared" si="5"/>
        <v>6.4061999999999992</v>
      </c>
      <c r="I1050" s="63">
        <f t="shared" si="5"/>
        <v>6.4073166666666674</v>
      </c>
      <c r="J1050" s="63">
        <f t="shared" si="5"/>
        <v>3.5770166666666667</v>
      </c>
      <c r="K1050" s="63">
        <f t="shared" si="5"/>
        <v>3.5781499999999995</v>
      </c>
    </row>
    <row r="1051" spans="1:11" ht="15">
      <c r="A1051" s="3">
        <v>2021</v>
      </c>
      <c r="B1051" s="63">
        <f t="shared" ref="B1051:K1051" si="6">AVERAGE(B84:B95)</f>
        <v>3.1064250000000002</v>
      </c>
      <c r="C1051" s="63">
        <f t="shared" si="6"/>
        <v>3.1064250000000002</v>
      </c>
      <c r="D1051" s="63">
        <f t="shared" si="6"/>
        <v>3.134725</v>
      </c>
      <c r="E1051" s="63">
        <f t="shared" si="6"/>
        <v>3.659675</v>
      </c>
      <c r="F1051" s="63">
        <f t="shared" si="6"/>
        <v>3.659675</v>
      </c>
      <c r="G1051" s="63">
        <f t="shared" si="6"/>
        <v>3.6607916666666664</v>
      </c>
      <c r="H1051" s="63">
        <f t="shared" si="6"/>
        <v>6.5682</v>
      </c>
      <c r="I1051" s="63">
        <f t="shared" si="6"/>
        <v>6.5693083333333329</v>
      </c>
      <c r="J1051" s="63">
        <f t="shared" si="6"/>
        <v>3.659675</v>
      </c>
      <c r="K1051" s="63">
        <f t="shared" si="6"/>
        <v>3.6607916666666664</v>
      </c>
    </row>
    <row r="1052" spans="1:11" ht="15">
      <c r="A1052" s="3">
        <v>2022</v>
      </c>
      <c r="B1052" s="63">
        <f t="shared" ref="B1052:K1052" si="7">AVERAGE(B96:B107)</f>
        <v>3.1894000000000005</v>
      </c>
      <c r="C1052" s="63">
        <f t="shared" si="7"/>
        <v>3.1894000000000005</v>
      </c>
      <c r="D1052" s="63">
        <f t="shared" si="7"/>
        <v>3.2176833333333339</v>
      </c>
      <c r="E1052" s="63">
        <f t="shared" si="7"/>
        <v>3.7376166666666673</v>
      </c>
      <c r="F1052" s="63">
        <f t="shared" si="7"/>
        <v>3.7376166666666673</v>
      </c>
      <c r="G1052" s="63">
        <f t="shared" si="7"/>
        <v>3.7387416666666673</v>
      </c>
      <c r="H1052" s="63">
        <f t="shared" si="7"/>
        <v>6.7342833333333338</v>
      </c>
      <c r="I1052" s="63">
        <f t="shared" si="7"/>
        <v>6.7354250000000002</v>
      </c>
      <c r="J1052" s="63">
        <f t="shared" si="7"/>
        <v>3.7376166666666673</v>
      </c>
      <c r="K1052" s="63">
        <f t="shared" si="7"/>
        <v>3.7387416666666673</v>
      </c>
    </row>
    <row r="1053" spans="1:11" ht="15">
      <c r="A1053" s="3">
        <v>2023</v>
      </c>
      <c r="B1053" s="63">
        <f t="shared" ref="B1053:K1053" si="8">AVERAGE(B108:B119)</f>
        <v>3.2733583333333329</v>
      </c>
      <c r="C1053" s="63">
        <f t="shared" si="8"/>
        <v>3.2733583333333329</v>
      </c>
      <c r="D1053" s="63">
        <f t="shared" si="8"/>
        <v>3.3016500000000004</v>
      </c>
      <c r="E1053" s="63">
        <f t="shared" si="8"/>
        <v>3.8185500000000006</v>
      </c>
      <c r="F1053" s="63">
        <f t="shared" si="8"/>
        <v>3.8185500000000006</v>
      </c>
      <c r="G1053" s="63">
        <f t="shared" si="8"/>
        <v>3.8196750000000002</v>
      </c>
      <c r="H1053" s="63">
        <f t="shared" si="8"/>
        <v>6.9045916666666658</v>
      </c>
      <c r="I1053" s="63">
        <f t="shared" si="8"/>
        <v>6.9057333333333331</v>
      </c>
      <c r="J1053" s="63">
        <f t="shared" si="8"/>
        <v>3.8185500000000006</v>
      </c>
      <c r="K1053" s="63">
        <f t="shared" si="8"/>
        <v>3.8196750000000002</v>
      </c>
    </row>
    <row r="1054" spans="1:11" ht="15">
      <c r="A1054" s="3">
        <v>2024</v>
      </c>
      <c r="B1054" s="63">
        <f t="shared" ref="B1054:K1054" si="9">AVERAGE(B120:B131)</f>
        <v>3.356641666666667</v>
      </c>
      <c r="C1054" s="63">
        <f t="shared" si="9"/>
        <v>3.356641666666667</v>
      </c>
      <c r="D1054" s="63">
        <f t="shared" si="9"/>
        <v>3.3849249999999995</v>
      </c>
      <c r="E1054" s="63">
        <f t="shared" si="9"/>
        <v>3.8828749999999999</v>
      </c>
      <c r="F1054" s="63">
        <f t="shared" si="9"/>
        <v>3.8828749999999999</v>
      </c>
      <c r="G1054" s="63">
        <f t="shared" si="9"/>
        <v>3.8839999999999999</v>
      </c>
      <c r="H1054" s="63">
        <f t="shared" si="9"/>
        <v>7.0792083333333329</v>
      </c>
      <c r="I1054" s="63">
        <f t="shared" si="9"/>
        <v>7.0803166666666675</v>
      </c>
      <c r="J1054" s="63">
        <f t="shared" si="9"/>
        <v>3.8828749999999999</v>
      </c>
      <c r="K1054" s="63">
        <f t="shared" si="9"/>
        <v>3.8839999999999999</v>
      </c>
    </row>
    <row r="1055" spans="1:11" ht="15">
      <c r="A1055" s="3">
        <v>2025</v>
      </c>
      <c r="B1055" s="63">
        <f t="shared" ref="B1055:K1055" si="10">AVERAGE(B132:B143)</f>
        <v>3.4431833333333337</v>
      </c>
      <c r="C1055" s="63">
        <f t="shared" si="10"/>
        <v>3.4431833333333337</v>
      </c>
      <c r="D1055" s="63">
        <f t="shared" si="10"/>
        <v>3.4714666666666663</v>
      </c>
      <c r="E1055" s="63">
        <f t="shared" si="10"/>
        <v>3.9477666666666664</v>
      </c>
      <c r="F1055" s="63">
        <f t="shared" si="10"/>
        <v>3.9477666666666664</v>
      </c>
      <c r="G1055" s="63">
        <f t="shared" si="10"/>
        <v>3.9489083333333332</v>
      </c>
      <c r="H1055" s="63">
        <f t="shared" si="10"/>
        <v>7.2582250000000004</v>
      </c>
      <c r="I1055" s="63">
        <f t="shared" si="10"/>
        <v>7.2593416666666677</v>
      </c>
      <c r="J1055" s="63">
        <f t="shared" si="10"/>
        <v>3.9477666666666664</v>
      </c>
      <c r="K1055" s="63">
        <f t="shared" si="10"/>
        <v>3.9489083333333332</v>
      </c>
    </row>
    <row r="1056" spans="1:11" ht="15">
      <c r="A1056" s="3">
        <v>2026</v>
      </c>
      <c r="B1056" s="63">
        <f t="shared" ref="B1056:K1056" si="11">AVERAGE(B144:B155)</f>
        <v>3.5199749999999992</v>
      </c>
      <c r="C1056" s="63">
        <f t="shared" si="11"/>
        <v>3.5199749999999992</v>
      </c>
      <c r="D1056" s="63">
        <f t="shared" si="11"/>
        <v>3.5482583333333331</v>
      </c>
      <c r="E1056" s="63">
        <f t="shared" si="11"/>
        <v>4.0216916666666664</v>
      </c>
      <c r="F1056" s="63">
        <f t="shared" si="11"/>
        <v>4.0216916666666664</v>
      </c>
      <c r="G1056" s="63">
        <f t="shared" si="11"/>
        <v>4.0228416666666673</v>
      </c>
      <c r="H1056" s="63">
        <f t="shared" si="11"/>
        <v>7.4417749999999998</v>
      </c>
      <c r="I1056" s="63">
        <f t="shared" si="11"/>
        <v>7.4428916666666671</v>
      </c>
      <c r="J1056" s="63">
        <f t="shared" si="11"/>
        <v>4.0216916666666664</v>
      </c>
      <c r="K1056" s="63">
        <f t="shared" si="11"/>
        <v>4.0228416666666673</v>
      </c>
    </row>
    <row r="1057" spans="1:11" ht="15">
      <c r="A1057" s="3">
        <v>2027</v>
      </c>
      <c r="B1057" s="63">
        <f t="shared" ref="B1057:K1057" si="12">AVERAGE(B156:B167)</f>
        <v>3.5945083333333336</v>
      </c>
      <c r="C1057" s="63">
        <f t="shared" si="12"/>
        <v>3.5945083333333336</v>
      </c>
      <c r="D1057" s="63">
        <f t="shared" si="12"/>
        <v>3.622816666666667</v>
      </c>
      <c r="E1057" s="63">
        <f t="shared" si="12"/>
        <v>4.0970250000000004</v>
      </c>
      <c r="F1057" s="63">
        <f t="shared" si="12"/>
        <v>4.0970250000000004</v>
      </c>
      <c r="G1057" s="63">
        <f t="shared" si="12"/>
        <v>4.0981333333333341</v>
      </c>
      <c r="H1057" s="63">
        <f t="shared" si="12"/>
        <v>7.6299583333333345</v>
      </c>
      <c r="I1057" s="63">
        <f t="shared" si="12"/>
        <v>7.6310916666666664</v>
      </c>
      <c r="J1057" s="63">
        <f t="shared" si="12"/>
        <v>4.0970250000000004</v>
      </c>
      <c r="K1057" s="63">
        <f t="shared" si="12"/>
        <v>4.0981333333333341</v>
      </c>
    </row>
    <row r="1058" spans="1:11" ht="15">
      <c r="A1058" s="3">
        <v>2028</v>
      </c>
      <c r="B1058" s="63">
        <f t="shared" ref="B1058:K1058" si="13">AVERAGE(B168:B179)</f>
        <v>3.6865333333333346</v>
      </c>
      <c r="C1058" s="63">
        <f t="shared" si="13"/>
        <v>3.6865333333333346</v>
      </c>
      <c r="D1058" s="63">
        <f t="shared" si="13"/>
        <v>3.7148000000000003</v>
      </c>
      <c r="E1058" s="63">
        <f t="shared" si="13"/>
        <v>4.1895333333333324</v>
      </c>
      <c r="F1058" s="63">
        <f t="shared" si="13"/>
        <v>4.1895333333333324</v>
      </c>
      <c r="G1058" s="63">
        <f t="shared" si="13"/>
        <v>4.1906666666666661</v>
      </c>
      <c r="H1058" s="63">
        <f t="shared" si="13"/>
        <v>7.822916666666667</v>
      </c>
      <c r="I1058" s="63">
        <f t="shared" si="13"/>
        <v>7.824041666666667</v>
      </c>
      <c r="J1058" s="63">
        <f t="shared" si="13"/>
        <v>4.1895333333333324</v>
      </c>
      <c r="K1058" s="63">
        <f t="shared" si="13"/>
        <v>4.1906666666666661</v>
      </c>
    </row>
    <row r="1059" spans="1:11" ht="15">
      <c r="A1059" s="3">
        <v>2029</v>
      </c>
      <c r="B1059" s="63">
        <f t="shared" ref="B1059:K1059" si="14">AVERAGE(B180:B191)</f>
        <v>3.7820583333333331</v>
      </c>
      <c r="C1059" s="63">
        <f t="shared" si="14"/>
        <v>3.7820583333333331</v>
      </c>
      <c r="D1059" s="63">
        <f t="shared" si="14"/>
        <v>3.8103250000000006</v>
      </c>
      <c r="E1059" s="63">
        <f t="shared" si="14"/>
        <v>4.3054249999999996</v>
      </c>
      <c r="F1059" s="63">
        <f t="shared" si="14"/>
        <v>4.3054249999999996</v>
      </c>
      <c r="G1059" s="63">
        <f t="shared" si="14"/>
        <v>4.3065500000000005</v>
      </c>
      <c r="H1059" s="63">
        <f t="shared" si="14"/>
        <v>8.0207499999999996</v>
      </c>
      <c r="I1059" s="63">
        <f t="shared" si="14"/>
        <v>8.0218500000000006</v>
      </c>
      <c r="J1059" s="63">
        <f t="shared" si="14"/>
        <v>4.3054249999999996</v>
      </c>
      <c r="K1059" s="63">
        <f t="shared" si="14"/>
        <v>4.3065500000000005</v>
      </c>
    </row>
    <row r="1060" spans="1:11" ht="15">
      <c r="A1060" s="3">
        <v>2030</v>
      </c>
      <c r="B1060" s="63">
        <f t="shared" ref="B1060:K1060" si="15">AVERAGE(B192:B203)</f>
        <v>3.8811916666666666</v>
      </c>
      <c r="C1060" s="63">
        <f t="shared" si="15"/>
        <v>3.8811916666666666</v>
      </c>
      <c r="D1060" s="63">
        <f t="shared" si="15"/>
        <v>3.9094916666666664</v>
      </c>
      <c r="E1060" s="63">
        <f t="shared" si="15"/>
        <v>4.4246083333333326</v>
      </c>
      <c r="F1060" s="63">
        <f t="shared" si="15"/>
        <v>4.4246083333333326</v>
      </c>
      <c r="G1060" s="63">
        <f t="shared" si="15"/>
        <v>4.4257499999999999</v>
      </c>
      <c r="H1060" s="63">
        <f t="shared" si="15"/>
        <v>8.2235750000000003</v>
      </c>
      <c r="I1060" s="63">
        <f t="shared" si="15"/>
        <v>8.224708333333334</v>
      </c>
      <c r="J1060" s="63">
        <f t="shared" si="15"/>
        <v>4.4246083333333326</v>
      </c>
      <c r="K1060" s="63">
        <f t="shared" si="15"/>
        <v>4.4257499999999999</v>
      </c>
    </row>
    <row r="1061" spans="1:11" ht="15">
      <c r="A1061" s="3">
        <v>2031</v>
      </c>
      <c r="B1061" s="63">
        <f t="shared" ref="B1061:K1061" si="16">AVERAGE(B204:B215)</f>
        <v>3.9861666666666671</v>
      </c>
      <c r="C1061" s="63">
        <f t="shared" si="16"/>
        <v>3.9861666666666671</v>
      </c>
      <c r="D1061" s="63">
        <f t="shared" si="16"/>
        <v>4.0144416666666656</v>
      </c>
      <c r="E1061" s="63">
        <f t="shared" si="16"/>
        <v>4.564283333333333</v>
      </c>
      <c r="F1061" s="63">
        <f t="shared" si="16"/>
        <v>4.564283333333333</v>
      </c>
      <c r="G1061" s="63">
        <f t="shared" si="16"/>
        <v>4.5654083333333331</v>
      </c>
      <c r="H1061" s="63">
        <f t="shared" si="16"/>
        <v>8.4315499999999997</v>
      </c>
      <c r="I1061" s="63">
        <f t="shared" si="16"/>
        <v>8.432641666666667</v>
      </c>
      <c r="J1061" s="63">
        <f t="shared" si="16"/>
        <v>4.564283333333333</v>
      </c>
      <c r="K1061" s="63">
        <f t="shared" si="16"/>
        <v>4.5654083333333331</v>
      </c>
    </row>
    <row r="1062" spans="1:11" ht="15">
      <c r="A1062" s="3">
        <v>2032</v>
      </c>
      <c r="B1062" s="63">
        <f t="shared" ref="B1062:K1062" si="17">AVERAGE(B216:B227)</f>
        <v>4.1071416666666662</v>
      </c>
      <c r="C1062" s="63">
        <f t="shared" si="17"/>
        <v>4.1071416666666662</v>
      </c>
      <c r="D1062" s="63">
        <f t="shared" si="17"/>
        <v>4.135416666666667</v>
      </c>
      <c r="E1062" s="63">
        <f t="shared" si="17"/>
        <v>4.7087666666666665</v>
      </c>
      <c r="F1062" s="63">
        <f t="shared" si="17"/>
        <v>4.7087666666666665</v>
      </c>
      <c r="G1062" s="63">
        <f t="shared" si="17"/>
        <v>4.7098583333333339</v>
      </c>
      <c r="H1062" s="63">
        <f t="shared" si="17"/>
        <v>8.6447666666666674</v>
      </c>
      <c r="I1062" s="63">
        <f t="shared" si="17"/>
        <v>8.645883333333332</v>
      </c>
      <c r="J1062" s="63">
        <f t="shared" si="17"/>
        <v>4.7087666666666665</v>
      </c>
      <c r="K1062" s="63">
        <f t="shared" si="17"/>
        <v>4.7098583333333339</v>
      </c>
    </row>
    <row r="1063" spans="1:11" ht="15">
      <c r="A1063" s="3">
        <v>2033</v>
      </c>
      <c r="B1063" s="63">
        <f t="shared" ref="B1063:K1063" si="18">AVERAGE(B228:B239)</f>
        <v>4.2320083333333329</v>
      </c>
      <c r="C1063" s="63">
        <f t="shared" si="18"/>
        <v>4.2320083333333329</v>
      </c>
      <c r="D1063" s="63">
        <f t="shared" si="18"/>
        <v>4.2603083333333336</v>
      </c>
      <c r="E1063" s="63">
        <f t="shared" si="18"/>
        <v>4.8575416666666671</v>
      </c>
      <c r="F1063" s="63">
        <f t="shared" si="18"/>
        <v>4.8575416666666671</v>
      </c>
      <c r="G1063" s="63">
        <f t="shared" si="18"/>
        <v>4.8586666666666662</v>
      </c>
      <c r="H1063" s="63">
        <f t="shared" si="18"/>
        <v>8.8633666666666659</v>
      </c>
      <c r="I1063" s="63">
        <f t="shared" si="18"/>
        <v>8.8644916666666678</v>
      </c>
      <c r="J1063" s="63">
        <f t="shared" si="18"/>
        <v>4.8575416666666671</v>
      </c>
      <c r="K1063" s="63">
        <f t="shared" si="18"/>
        <v>4.8586666666666662</v>
      </c>
    </row>
    <row r="1064" spans="1:11" ht="15">
      <c r="A1064" s="3">
        <v>2034</v>
      </c>
      <c r="B1064" s="63">
        <f t="shared" ref="B1064:K1064" si="19">AVERAGE(B240:B251)</f>
        <v>4.3617000000000008</v>
      </c>
      <c r="C1064" s="63">
        <f t="shared" si="19"/>
        <v>4.3617000000000008</v>
      </c>
      <c r="D1064" s="63">
        <f t="shared" si="19"/>
        <v>4.3899999999999997</v>
      </c>
      <c r="E1064" s="63">
        <f t="shared" si="19"/>
        <v>5.0112666666666668</v>
      </c>
      <c r="F1064" s="63">
        <f t="shared" si="19"/>
        <v>5.0112666666666668</v>
      </c>
      <c r="G1064" s="63">
        <f t="shared" si="19"/>
        <v>5.0123833333333332</v>
      </c>
      <c r="H1064" s="63">
        <f t="shared" si="19"/>
        <v>9.0875166666666658</v>
      </c>
      <c r="I1064" s="63">
        <f t="shared" si="19"/>
        <v>9.0886333333333322</v>
      </c>
      <c r="J1064" s="63">
        <f t="shared" si="19"/>
        <v>5.0112666666666668</v>
      </c>
      <c r="K1064" s="63">
        <f t="shared" si="19"/>
        <v>5.0123833333333332</v>
      </c>
    </row>
    <row r="1065" spans="1:11" ht="15">
      <c r="A1065" s="3">
        <v>2035</v>
      </c>
      <c r="B1065" s="63">
        <f t="shared" ref="B1065:K1065" si="20">AVERAGE(B252:B263)</f>
        <v>4.4858083333333338</v>
      </c>
      <c r="C1065" s="63">
        <f t="shared" si="20"/>
        <v>4.4858083333333338</v>
      </c>
      <c r="D1065" s="63">
        <f t="shared" si="20"/>
        <v>4.5141</v>
      </c>
      <c r="E1065" s="63">
        <f t="shared" si="20"/>
        <v>5.1507166666666668</v>
      </c>
      <c r="F1065" s="63">
        <f t="shared" si="20"/>
        <v>5.1507166666666668</v>
      </c>
      <c r="G1065" s="63">
        <f t="shared" si="20"/>
        <v>5.1518249999999997</v>
      </c>
      <c r="H1065" s="63">
        <f t="shared" si="20"/>
        <v>9.3173083333333349</v>
      </c>
      <c r="I1065" s="63">
        <f t="shared" si="20"/>
        <v>9.3184333333333331</v>
      </c>
      <c r="J1065" s="63">
        <f t="shared" si="20"/>
        <v>5.1507166666666668</v>
      </c>
      <c r="K1065" s="63">
        <f t="shared" si="20"/>
        <v>5.1518249999999997</v>
      </c>
    </row>
    <row r="1066" spans="1:11" ht="15">
      <c r="A1066" s="3">
        <v>2036</v>
      </c>
      <c r="B1066" s="63">
        <f t="shared" ref="B1066:K1066" si="21">AVERAGE(B264:B275)</f>
        <v>4.6092000000000004</v>
      </c>
      <c r="C1066" s="63">
        <f t="shared" si="21"/>
        <v>4.6092000000000004</v>
      </c>
      <c r="D1066" s="63">
        <f t="shared" si="21"/>
        <v>4.6374916666666657</v>
      </c>
      <c r="E1066" s="63">
        <f t="shared" si="21"/>
        <v>5.2943249999999997</v>
      </c>
      <c r="F1066" s="63">
        <f t="shared" si="21"/>
        <v>5.2943249999999997</v>
      </c>
      <c r="G1066" s="63">
        <f t="shared" si="21"/>
        <v>5.2954499999999998</v>
      </c>
      <c r="H1066" s="63">
        <f t="shared" si="21"/>
        <v>9.5529416666666673</v>
      </c>
      <c r="I1066" s="63">
        <f t="shared" si="21"/>
        <v>9.5540666666666656</v>
      </c>
      <c r="J1066" s="63">
        <f t="shared" si="21"/>
        <v>5.2943249999999997</v>
      </c>
      <c r="K1066" s="63">
        <f t="shared" si="21"/>
        <v>5.2954499999999998</v>
      </c>
    </row>
    <row r="1067" spans="1:11" ht="15">
      <c r="A1067" s="3">
        <v>2037</v>
      </c>
      <c r="B1067" s="63">
        <f t="shared" ref="B1067:K1067" si="22">AVERAGE(B276:B287)</f>
        <v>4.7357500000000003</v>
      </c>
      <c r="C1067" s="63">
        <f t="shared" si="22"/>
        <v>4.7357500000000003</v>
      </c>
      <c r="D1067" s="63">
        <f t="shared" si="22"/>
        <v>4.7640333333333329</v>
      </c>
      <c r="E1067" s="63">
        <f t="shared" si="22"/>
        <v>5.441816666666667</v>
      </c>
      <c r="F1067" s="63">
        <f t="shared" si="22"/>
        <v>5.441816666666667</v>
      </c>
      <c r="G1067" s="63">
        <f t="shared" si="22"/>
        <v>5.4429333333333334</v>
      </c>
      <c r="H1067" s="63">
        <f t="shared" si="22"/>
        <v>9.7945249999999984</v>
      </c>
      <c r="I1067" s="63">
        <f t="shared" si="22"/>
        <v>9.795633333333333</v>
      </c>
      <c r="J1067" s="63">
        <f t="shared" si="22"/>
        <v>5.441816666666667</v>
      </c>
      <c r="K1067" s="63">
        <f t="shared" si="22"/>
        <v>5.4429333333333334</v>
      </c>
    </row>
    <row r="1068" spans="1:11" ht="15">
      <c r="A1068" s="3">
        <v>2038</v>
      </c>
      <c r="B1068" s="63">
        <f t="shared" ref="B1068:K1068" si="23">AVERAGE(B288:B299)</f>
        <v>4.8654333333333337</v>
      </c>
      <c r="C1068" s="63">
        <f t="shared" si="23"/>
        <v>4.8654333333333337</v>
      </c>
      <c r="D1068" s="63">
        <f t="shared" si="23"/>
        <v>4.8937250000000008</v>
      </c>
      <c r="E1068" s="63">
        <f t="shared" si="23"/>
        <v>5.594408333333333</v>
      </c>
      <c r="F1068" s="63">
        <f t="shared" si="23"/>
        <v>5.594408333333333</v>
      </c>
      <c r="G1068" s="63">
        <f t="shared" si="23"/>
        <v>5.5955583333333339</v>
      </c>
      <c r="H1068" s="63">
        <f t="shared" si="23"/>
        <v>10.042208333333333</v>
      </c>
      <c r="I1068" s="63">
        <f t="shared" si="23"/>
        <v>10.043325000000001</v>
      </c>
      <c r="J1068" s="63">
        <f t="shared" si="23"/>
        <v>5.594408333333333</v>
      </c>
      <c r="K1068" s="63">
        <f t="shared" si="23"/>
        <v>5.5955583333333339</v>
      </c>
    </row>
    <row r="1069" spans="1:11" ht="15">
      <c r="A1069" s="3">
        <v>2039</v>
      </c>
      <c r="B1069" s="63">
        <f t="shared" ref="B1069:K1069" si="24">AVERAGE(B300:B311)</f>
        <v>5.0003166666666656</v>
      </c>
      <c r="C1069" s="63">
        <f t="shared" si="24"/>
        <v>5.0003166666666656</v>
      </c>
      <c r="D1069" s="63">
        <f t="shared" si="24"/>
        <v>5.0286166666666672</v>
      </c>
      <c r="E1069" s="63">
        <f t="shared" si="24"/>
        <v>5.749200000000001</v>
      </c>
      <c r="F1069" s="63">
        <f t="shared" si="24"/>
        <v>5.749200000000001</v>
      </c>
      <c r="G1069" s="63">
        <f t="shared" si="24"/>
        <v>5.7503249999999992</v>
      </c>
      <c r="H1069" s="63">
        <f t="shared" si="24"/>
        <v>10.296166666666666</v>
      </c>
      <c r="I1069" s="63">
        <f t="shared" si="24"/>
        <v>10.297258333333334</v>
      </c>
      <c r="J1069" s="63">
        <f t="shared" si="24"/>
        <v>5.749200000000001</v>
      </c>
      <c r="K1069" s="63">
        <f t="shared" si="24"/>
        <v>5.7503249999999992</v>
      </c>
    </row>
    <row r="1070" spans="1:11" ht="15">
      <c r="A1070" s="3">
        <v>2040</v>
      </c>
      <c r="B1070" s="63">
        <f t="shared" ref="B1070:K1070" si="25">AVERAGE(B312:B323)</f>
        <v>5.136425</v>
      </c>
      <c r="C1070" s="63">
        <f t="shared" si="25"/>
        <v>5.136425</v>
      </c>
      <c r="D1070" s="63">
        <f t="shared" si="25"/>
        <v>5.1647249999999998</v>
      </c>
      <c r="E1070" s="63">
        <f t="shared" si="25"/>
        <v>5.9101166666666662</v>
      </c>
      <c r="F1070" s="63">
        <f t="shared" si="25"/>
        <v>5.9101166666666662</v>
      </c>
      <c r="G1070" s="63">
        <f t="shared" si="25"/>
        <v>5.9112333333333327</v>
      </c>
      <c r="H1070" s="63">
        <f t="shared" si="25"/>
        <v>10.556541666666666</v>
      </c>
      <c r="I1070" s="63">
        <f t="shared" si="25"/>
        <v>10.557658333333334</v>
      </c>
      <c r="J1070" s="63">
        <f t="shared" si="25"/>
        <v>5.9101166666666662</v>
      </c>
      <c r="K1070" s="63">
        <f t="shared" si="25"/>
        <v>5.9112333333333327</v>
      </c>
    </row>
    <row r="1071" spans="1:11" ht="15">
      <c r="A1071" s="3">
        <v>2041</v>
      </c>
      <c r="B1071" s="63">
        <f t="shared" ref="B1071:K1071" si="26">AVERAGE(B324:B335)</f>
        <v>5.2762833333333345</v>
      </c>
      <c r="C1071" s="63">
        <f t="shared" si="26"/>
        <v>5.2762833333333345</v>
      </c>
      <c r="D1071" s="63">
        <f t="shared" si="26"/>
        <v>5.304591666666667</v>
      </c>
      <c r="E1071" s="63">
        <f t="shared" si="26"/>
        <v>6.0755333333333335</v>
      </c>
      <c r="F1071" s="63">
        <f t="shared" si="26"/>
        <v>6.0755333333333335</v>
      </c>
      <c r="G1071" s="63">
        <f t="shared" si="26"/>
        <v>6.0766583333333335</v>
      </c>
      <c r="H1071" s="63">
        <f t="shared" si="26"/>
        <v>10.823500000000001</v>
      </c>
      <c r="I1071" s="63">
        <f t="shared" si="26"/>
        <v>10.824599999999998</v>
      </c>
      <c r="J1071" s="63">
        <f t="shared" si="26"/>
        <v>6.0755333333333335</v>
      </c>
      <c r="K1071" s="63">
        <f t="shared" si="26"/>
        <v>6.0766583333333335</v>
      </c>
    </row>
    <row r="1072" spans="1:11" ht="15">
      <c r="A1072" s="3">
        <v>2042</v>
      </c>
      <c r="B1072" s="63">
        <f t="shared" ref="B1072:K1072" si="27">AVERAGE(B336:B347)</f>
        <v>5.4200000000000008</v>
      </c>
      <c r="C1072" s="63">
        <f t="shared" si="27"/>
        <v>5.4200000000000008</v>
      </c>
      <c r="D1072" s="63">
        <f t="shared" si="27"/>
        <v>5.4482666666666661</v>
      </c>
      <c r="E1072" s="63">
        <f t="shared" si="27"/>
        <v>6.2455916666666669</v>
      </c>
      <c r="F1072" s="63">
        <f t="shared" si="27"/>
        <v>6.2455916666666669</v>
      </c>
      <c r="G1072" s="63">
        <f t="shared" si="27"/>
        <v>6.2467083333333333</v>
      </c>
      <c r="H1072" s="63">
        <f t="shared" si="27"/>
        <v>11.097200000000001</v>
      </c>
      <c r="I1072" s="63">
        <f t="shared" si="27"/>
        <v>11.098325000000001</v>
      </c>
      <c r="J1072" s="63">
        <f t="shared" si="27"/>
        <v>6.2455916666666669</v>
      </c>
      <c r="K1072" s="63">
        <f t="shared" si="27"/>
        <v>6.2467083333333333</v>
      </c>
    </row>
    <row r="1073" spans="1:11" ht="15">
      <c r="A1073" s="3">
        <v>2043</v>
      </c>
      <c r="B1073" s="63">
        <f t="shared" ref="B1073:K1073" si="28">AVERAGE(B348:B359)</f>
        <v>5.5676416666666659</v>
      </c>
      <c r="C1073" s="63">
        <f t="shared" si="28"/>
        <v>5.5676416666666659</v>
      </c>
      <c r="D1073" s="63">
        <f t="shared" si="28"/>
        <v>5.5959166666666667</v>
      </c>
      <c r="E1073" s="63">
        <f t="shared" si="28"/>
        <v>6.4204000000000008</v>
      </c>
      <c r="F1073" s="63">
        <f t="shared" si="28"/>
        <v>6.4204000000000008</v>
      </c>
      <c r="G1073" s="63">
        <f t="shared" si="28"/>
        <v>6.4215083333333327</v>
      </c>
      <c r="H1073" s="63">
        <f t="shared" si="28"/>
        <v>11.377841666666667</v>
      </c>
      <c r="I1073" s="63">
        <f t="shared" si="28"/>
        <v>11.378958333333335</v>
      </c>
      <c r="J1073" s="63">
        <f t="shared" si="28"/>
        <v>6.4204000000000008</v>
      </c>
      <c r="K1073" s="63">
        <f t="shared" si="28"/>
        <v>6.4215083333333327</v>
      </c>
    </row>
    <row r="1074" spans="1:11" ht="15">
      <c r="A1074" s="3">
        <v>2044</v>
      </c>
      <c r="B1074" s="63">
        <f t="shared" ref="B1074:K1074" si="29">AVERAGE(B360:B371)</f>
        <v>5.7193499999999995</v>
      </c>
      <c r="C1074" s="63">
        <f t="shared" si="29"/>
        <v>5.7193499999999995</v>
      </c>
      <c r="D1074" s="63">
        <f t="shared" si="29"/>
        <v>5.7476416666666665</v>
      </c>
      <c r="E1074" s="63">
        <f t="shared" si="29"/>
        <v>6.6000916666666649</v>
      </c>
      <c r="F1074" s="63">
        <f t="shared" si="29"/>
        <v>6.6000916666666649</v>
      </c>
      <c r="G1074" s="63">
        <f t="shared" si="29"/>
        <v>6.6012166666666658</v>
      </c>
      <c r="H1074" s="63">
        <f t="shared" si="29"/>
        <v>11.665550000000001</v>
      </c>
      <c r="I1074" s="63">
        <f t="shared" si="29"/>
        <v>11.666691666666665</v>
      </c>
      <c r="J1074" s="63">
        <f t="shared" si="29"/>
        <v>6.6000916666666649</v>
      </c>
      <c r="K1074" s="63">
        <f t="shared" si="29"/>
        <v>6.6012166666666658</v>
      </c>
    </row>
    <row r="1075" spans="1:11" ht="15">
      <c r="A1075" s="3">
        <v>2045</v>
      </c>
      <c r="B1075" s="63">
        <f t="shared" ref="B1075:K1075" si="30">AVERAGE(B372:B383)</f>
        <v>5.875233333333334</v>
      </c>
      <c r="C1075" s="63">
        <f t="shared" si="30"/>
        <v>5.875233333333334</v>
      </c>
      <c r="D1075" s="63">
        <f t="shared" si="30"/>
        <v>5.9035166666666656</v>
      </c>
      <c r="E1075" s="63">
        <f t="shared" si="30"/>
        <v>6.784841666666666</v>
      </c>
      <c r="F1075" s="63">
        <f t="shared" si="30"/>
        <v>6.784841666666666</v>
      </c>
      <c r="G1075" s="63">
        <f t="shared" si="30"/>
        <v>6.7859416666666661</v>
      </c>
      <c r="H1075" s="63">
        <f t="shared" si="30"/>
        <v>11.960566666666667</v>
      </c>
      <c r="I1075" s="63">
        <f t="shared" si="30"/>
        <v>11.961691666666667</v>
      </c>
      <c r="J1075" s="63">
        <f t="shared" si="30"/>
        <v>6.784841666666666</v>
      </c>
      <c r="K1075" s="63">
        <f t="shared" si="30"/>
        <v>6.7859416666666661</v>
      </c>
    </row>
    <row r="1076" spans="1:11" ht="15">
      <c r="A1076" s="3">
        <v>2046</v>
      </c>
      <c r="B1076" s="63">
        <f t="shared" ref="B1076:K1076" si="31">AVERAGE(B384:B395)</f>
        <v>6.0354000000000001</v>
      </c>
      <c r="C1076" s="63">
        <f t="shared" si="31"/>
        <v>6.0354000000000001</v>
      </c>
      <c r="D1076" s="63">
        <f t="shared" si="31"/>
        <v>6.0636916666666671</v>
      </c>
      <c r="E1076" s="63">
        <f t="shared" si="31"/>
        <v>6.9747249999999994</v>
      </c>
      <c r="F1076" s="63">
        <f t="shared" si="31"/>
        <v>6.9747249999999994</v>
      </c>
      <c r="G1076" s="63">
        <f t="shared" si="31"/>
        <v>6.9758500000000003</v>
      </c>
      <c r="H1076" s="63">
        <f t="shared" si="31"/>
        <v>12.263041666666666</v>
      </c>
      <c r="I1076" s="63">
        <f t="shared" si="31"/>
        <v>12.264150000000001</v>
      </c>
      <c r="J1076" s="63">
        <f t="shared" si="31"/>
        <v>6.9747249999999994</v>
      </c>
      <c r="K1076" s="63">
        <f t="shared" si="31"/>
        <v>6.9758500000000003</v>
      </c>
    </row>
    <row r="1077" spans="1:11" ht="15">
      <c r="A1077" s="3">
        <v>2047</v>
      </c>
      <c r="B1077" s="63">
        <f t="shared" ref="B1077:K1077" si="32">AVERAGE(B396:B407)</f>
        <v>6.1999666666666657</v>
      </c>
      <c r="C1077" s="63">
        <f t="shared" si="32"/>
        <v>6.1999666666666657</v>
      </c>
      <c r="D1077" s="63">
        <f t="shared" si="32"/>
        <v>6.2282750000000009</v>
      </c>
      <c r="E1077" s="63">
        <f t="shared" si="32"/>
        <v>7.1699499999999992</v>
      </c>
      <c r="F1077" s="63">
        <f t="shared" si="32"/>
        <v>7.1699499999999992</v>
      </c>
      <c r="G1077" s="63">
        <f t="shared" si="32"/>
        <v>7.1710833333333328</v>
      </c>
      <c r="H1077" s="63">
        <f t="shared" si="32"/>
        <v>12.573133333333333</v>
      </c>
      <c r="I1077" s="63">
        <f t="shared" si="32"/>
        <v>12.574275000000002</v>
      </c>
      <c r="J1077" s="63">
        <f t="shared" si="32"/>
        <v>7.1699499999999992</v>
      </c>
      <c r="K1077" s="63">
        <f t="shared" si="32"/>
        <v>7.1710833333333328</v>
      </c>
    </row>
    <row r="1078" spans="1:11" ht="15">
      <c r="A1078" s="3">
        <v>2048</v>
      </c>
      <c r="B1078" s="63">
        <f t="shared" ref="B1078:K1078" si="33">AVERAGE(B408:B419)</f>
        <v>6.3690833333333332</v>
      </c>
      <c r="C1078" s="63">
        <f t="shared" si="33"/>
        <v>6.3690833333333332</v>
      </c>
      <c r="D1078" s="63">
        <f t="shared" si="33"/>
        <v>6.3973750000000003</v>
      </c>
      <c r="E1078" s="63">
        <f t="shared" si="33"/>
        <v>7.3706416666666676</v>
      </c>
      <c r="F1078" s="63">
        <f t="shared" si="33"/>
        <v>7.3706416666666676</v>
      </c>
      <c r="G1078" s="63">
        <f t="shared" si="33"/>
        <v>7.3717666666666659</v>
      </c>
      <c r="H1078" s="63">
        <f t="shared" si="33"/>
        <v>12.891116666666667</v>
      </c>
      <c r="I1078" s="63">
        <f t="shared" si="33"/>
        <v>12.892208333333331</v>
      </c>
      <c r="J1078" s="63">
        <f t="shared" si="33"/>
        <v>7.3706416666666676</v>
      </c>
      <c r="K1078" s="63">
        <f t="shared" si="33"/>
        <v>7.3717666666666659</v>
      </c>
    </row>
    <row r="1079" spans="1:11" ht="15">
      <c r="A1079" s="3">
        <v>2049</v>
      </c>
      <c r="B1079" s="63">
        <f t="shared" ref="B1079:K1079" si="34">AVERAGE(B420:B431)</f>
        <v>6.5428583333333341</v>
      </c>
      <c r="C1079" s="63">
        <f t="shared" si="34"/>
        <v>6.5428583333333341</v>
      </c>
      <c r="D1079" s="63">
        <f t="shared" si="34"/>
        <v>6.571133333333333</v>
      </c>
      <c r="E1079" s="63">
        <f t="shared" si="34"/>
        <v>7.5769250000000001</v>
      </c>
      <c r="F1079" s="63">
        <f t="shared" si="34"/>
        <v>7.5769250000000001</v>
      </c>
      <c r="G1079" s="63">
        <f t="shared" si="34"/>
        <v>7.5780583333333338</v>
      </c>
      <c r="H1079" s="63">
        <f t="shared" si="34"/>
        <v>13.217100000000002</v>
      </c>
      <c r="I1079" s="63">
        <f t="shared" si="34"/>
        <v>13.218216666666665</v>
      </c>
      <c r="J1079" s="63">
        <f t="shared" si="34"/>
        <v>7.5769250000000001</v>
      </c>
      <c r="K1079" s="63">
        <f t="shared" si="34"/>
        <v>7.5780583333333338</v>
      </c>
    </row>
    <row r="1080" spans="1:11" ht="15">
      <c r="A1080" s="3">
        <v>2050</v>
      </c>
      <c r="B1080" s="63">
        <f t="shared" ref="B1080:K1080" si="35">AVERAGE(B432:B443)</f>
        <v>6.7214083333333337</v>
      </c>
      <c r="C1080" s="63">
        <f t="shared" si="35"/>
        <v>6.7214083333333337</v>
      </c>
      <c r="D1080" s="63">
        <f t="shared" si="35"/>
        <v>6.7496916666666662</v>
      </c>
      <c r="E1080" s="63">
        <f t="shared" si="35"/>
        <v>7.7890083333333324</v>
      </c>
      <c r="F1080" s="63">
        <f t="shared" si="35"/>
        <v>7.7890083333333324</v>
      </c>
      <c r="G1080" s="63">
        <f t="shared" si="35"/>
        <v>7.7900999999999989</v>
      </c>
      <c r="H1080" s="63">
        <f t="shared" si="35"/>
        <v>13.551349999999999</v>
      </c>
      <c r="I1080" s="63">
        <f t="shared" si="35"/>
        <v>13.552441666666667</v>
      </c>
      <c r="J1080" s="63">
        <f t="shared" si="35"/>
        <v>7.7890083333333324</v>
      </c>
      <c r="K1080" s="63">
        <f t="shared" si="35"/>
        <v>7.7900999999999989</v>
      </c>
    </row>
    <row r="1081" spans="1:11" ht="15">
      <c r="A1081" s="3">
        <v>2051</v>
      </c>
      <c r="B1081" s="63">
        <f t="shared" ref="B1081:K1081" si="36">AVERAGE(B444:B455)</f>
        <v>6.9048833333333333</v>
      </c>
      <c r="C1081" s="63">
        <f t="shared" si="36"/>
        <v>6.9048833333333333</v>
      </c>
      <c r="D1081" s="63">
        <f t="shared" si="36"/>
        <v>6.9331583333333349</v>
      </c>
      <c r="E1081" s="63">
        <f t="shared" si="36"/>
        <v>8.0070083333333333</v>
      </c>
      <c r="F1081" s="63">
        <f t="shared" si="36"/>
        <v>8.0070083333333333</v>
      </c>
      <c r="G1081" s="63">
        <f t="shared" si="36"/>
        <v>8.0081166666666661</v>
      </c>
      <c r="H1081" s="63">
        <f t="shared" si="36"/>
        <v>13.894016666666666</v>
      </c>
      <c r="I1081" s="63">
        <f t="shared" si="36"/>
        <v>13.895149999999999</v>
      </c>
      <c r="J1081" s="63">
        <f t="shared" si="36"/>
        <v>8.0070083333333333</v>
      </c>
      <c r="K1081" s="63">
        <f t="shared" si="36"/>
        <v>8.0081166666666661</v>
      </c>
    </row>
    <row r="1082" spans="1:11" ht="15">
      <c r="A1082" s="3">
        <v>2052</v>
      </c>
      <c r="B1082" s="63">
        <f t="shared" ref="B1082:K1082" si="37">AVERAGE(B456:B467)</f>
        <v>7.0933999999999999</v>
      </c>
      <c r="C1082" s="63">
        <f t="shared" si="37"/>
        <v>7.0933999999999999</v>
      </c>
      <c r="D1082" s="63">
        <f t="shared" si="37"/>
        <v>7.1216833333333334</v>
      </c>
      <c r="E1082" s="63">
        <f t="shared" si="37"/>
        <v>8.2311083333333332</v>
      </c>
      <c r="F1082" s="63">
        <f t="shared" si="37"/>
        <v>8.2311083333333332</v>
      </c>
      <c r="G1082" s="63">
        <f t="shared" si="37"/>
        <v>8.2322249999999997</v>
      </c>
      <c r="H1082" s="63">
        <f t="shared" si="37"/>
        <v>14.245383333333331</v>
      </c>
      <c r="I1082" s="63">
        <f t="shared" si="37"/>
        <v>14.246508333333333</v>
      </c>
      <c r="J1082" s="63">
        <f t="shared" si="37"/>
        <v>8.2311083333333332</v>
      </c>
      <c r="K1082" s="63">
        <f t="shared" si="37"/>
        <v>8.2322249999999997</v>
      </c>
    </row>
    <row r="1083" spans="1:11" ht="15">
      <c r="A1083" s="3">
        <v>2053</v>
      </c>
      <c r="B1083" s="63">
        <f t="shared" ref="B1083:K1083" si="38">AVERAGE(B468:B479)</f>
        <v>7.2871333333333324</v>
      </c>
      <c r="C1083" s="63">
        <f t="shared" si="38"/>
        <v>7.2871333333333324</v>
      </c>
      <c r="D1083" s="63">
        <f t="shared" si="38"/>
        <v>7.315408333333334</v>
      </c>
      <c r="E1083" s="63">
        <f t="shared" si="38"/>
        <v>8.4614916666666673</v>
      </c>
      <c r="F1083" s="63">
        <f t="shared" si="38"/>
        <v>8.4614916666666673</v>
      </c>
      <c r="G1083" s="63">
        <f t="shared" si="38"/>
        <v>8.4626166666666656</v>
      </c>
      <c r="H1083" s="63">
        <f t="shared" si="38"/>
        <v>14.605633333333332</v>
      </c>
      <c r="I1083" s="63">
        <f t="shared" si="38"/>
        <v>14.606758333333332</v>
      </c>
      <c r="J1083" s="63">
        <f t="shared" si="38"/>
        <v>8.4614916666666673</v>
      </c>
      <c r="K1083" s="63">
        <f t="shared" si="38"/>
        <v>8.4626166666666656</v>
      </c>
    </row>
    <row r="1084" spans="1:11" ht="15">
      <c r="A1084" s="3">
        <v>2054</v>
      </c>
      <c r="B1084" s="63">
        <f t="shared" ref="B1084:K1084" si="39">AVERAGE(B480:B491)</f>
        <v>7.4862000000000011</v>
      </c>
      <c r="C1084" s="63">
        <f t="shared" si="39"/>
        <v>7.4862000000000011</v>
      </c>
      <c r="D1084" s="63">
        <f t="shared" si="39"/>
        <v>7.5144833333333336</v>
      </c>
      <c r="E1084" s="63">
        <f t="shared" si="39"/>
        <v>8.6983249999999988</v>
      </c>
      <c r="F1084" s="63">
        <f t="shared" si="39"/>
        <v>8.6983249999999988</v>
      </c>
      <c r="G1084" s="63">
        <f t="shared" si="39"/>
        <v>8.6994249999999997</v>
      </c>
      <c r="H1084" s="63">
        <f t="shared" si="39"/>
        <v>14.974983333333332</v>
      </c>
      <c r="I1084" s="63">
        <f t="shared" si="39"/>
        <v>14.976116666666668</v>
      </c>
      <c r="J1084" s="63">
        <f t="shared" si="39"/>
        <v>8.6983249999999988</v>
      </c>
      <c r="K1084" s="63">
        <f t="shared" si="39"/>
        <v>8.6994249999999997</v>
      </c>
    </row>
    <row r="1085" spans="1:11" ht="15">
      <c r="A1085" s="3">
        <v>2055</v>
      </c>
      <c r="B1085" s="63">
        <f t="shared" ref="B1085:K1085" si="40">AVERAGE(B17:B503)</f>
        <v>4.7321876796714557</v>
      </c>
      <c r="C1085" s="63">
        <f t="shared" si="40"/>
        <v>4.7321876796714557</v>
      </c>
      <c r="D1085" s="63">
        <f t="shared" si="40"/>
        <v>4.7605201232032854</v>
      </c>
      <c r="E1085" s="63">
        <f t="shared" si="40"/>
        <v>5.4924942505133423</v>
      </c>
      <c r="F1085" s="63">
        <f t="shared" si="40"/>
        <v>5.5194205338808979</v>
      </c>
      <c r="G1085" s="63">
        <f t="shared" si="40"/>
        <v>5.520547227926083</v>
      </c>
      <c r="H1085" s="63">
        <f t="shared" si="40"/>
        <v>9.7717281314168307</v>
      </c>
      <c r="I1085" s="63">
        <f t="shared" si="40"/>
        <v>9.7728517453798815</v>
      </c>
      <c r="J1085" s="63">
        <f t="shared" si="40"/>
        <v>5.4924942505133423</v>
      </c>
      <c r="K1085" s="63">
        <f t="shared" si="40"/>
        <v>5.4936215605749537</v>
      </c>
    </row>
    <row r="1086" spans="1:11" ht="15">
      <c r="A1086" s="3">
        <v>2056</v>
      </c>
      <c r="B1086" s="63">
        <f t="shared" ref="B1086:K1086" si="41">AVERAGE(B504:B515)</f>
        <v>7.9009416666666672</v>
      </c>
      <c r="C1086" s="63">
        <f t="shared" si="41"/>
        <v>7.9009416666666672</v>
      </c>
      <c r="D1086" s="63">
        <f t="shared" si="41"/>
        <v>7.9292249999999989</v>
      </c>
      <c r="E1086" s="63">
        <f t="shared" si="41"/>
        <v>9.192025000000001</v>
      </c>
      <c r="F1086" s="63">
        <f t="shared" si="41"/>
        <v>9.192025000000001</v>
      </c>
      <c r="G1086" s="63">
        <f t="shared" si="41"/>
        <v>9.1931416666666657</v>
      </c>
      <c r="H1086" s="63">
        <f t="shared" si="41"/>
        <v>15.741966666666665</v>
      </c>
      <c r="I1086" s="63">
        <f t="shared" si="41"/>
        <v>15.743066666666666</v>
      </c>
      <c r="J1086" s="63">
        <f t="shared" si="41"/>
        <v>9.192025000000001</v>
      </c>
      <c r="K1086" s="63">
        <f t="shared" si="41"/>
        <v>9.1931416666666657</v>
      </c>
    </row>
    <row r="1087" spans="1:11" ht="15">
      <c r="A1087" s="3">
        <v>2057</v>
      </c>
      <c r="B1087" s="63">
        <f t="shared" ref="B1087:K1087" si="42">AVERAGE(B516:B527)</f>
        <v>8.1169250000000002</v>
      </c>
      <c r="C1087" s="63">
        <f t="shared" si="42"/>
        <v>8.1169250000000002</v>
      </c>
      <c r="D1087" s="63">
        <f t="shared" si="42"/>
        <v>8.1452333333333353</v>
      </c>
      <c r="E1087" s="63">
        <f t="shared" si="42"/>
        <v>9.4493000000000009</v>
      </c>
      <c r="F1087" s="63">
        <f t="shared" si="42"/>
        <v>9.4493000000000009</v>
      </c>
      <c r="G1087" s="63">
        <f t="shared" si="42"/>
        <v>9.4504166666666656</v>
      </c>
      <c r="H1087" s="63">
        <f t="shared" si="42"/>
        <v>16.140033333333335</v>
      </c>
      <c r="I1087" s="63">
        <f t="shared" si="42"/>
        <v>16.141175</v>
      </c>
      <c r="J1087" s="63">
        <f t="shared" si="42"/>
        <v>9.4493000000000009</v>
      </c>
      <c r="K1087" s="63">
        <f t="shared" si="42"/>
        <v>9.4504166666666656</v>
      </c>
    </row>
    <row r="1088" spans="1:11" ht="15">
      <c r="A1088" s="3">
        <v>2058</v>
      </c>
      <c r="B1088" s="63">
        <f t="shared" ref="B1088:K1088" si="43">AVERAGE(B528:B539)</f>
        <v>8.3388916666666688</v>
      </c>
      <c r="C1088" s="63">
        <f t="shared" si="43"/>
        <v>8.3388916666666688</v>
      </c>
      <c r="D1088" s="63">
        <f t="shared" si="43"/>
        <v>8.3671916666666686</v>
      </c>
      <c r="E1088" s="63">
        <f t="shared" si="43"/>
        <v>9.7137666666666664</v>
      </c>
      <c r="F1088" s="63">
        <f t="shared" si="43"/>
        <v>9.7137666666666664</v>
      </c>
      <c r="G1088" s="63">
        <f t="shared" si="43"/>
        <v>9.7148999999999983</v>
      </c>
      <c r="H1088" s="63">
        <f t="shared" si="43"/>
        <v>16.548199999999998</v>
      </c>
      <c r="I1088" s="63">
        <f t="shared" si="43"/>
        <v>16.549300000000002</v>
      </c>
      <c r="J1088" s="63">
        <f t="shared" si="43"/>
        <v>9.7137666666666664</v>
      </c>
      <c r="K1088" s="63">
        <f t="shared" si="43"/>
        <v>9.7148999999999983</v>
      </c>
    </row>
    <row r="1089" spans="1:11" ht="15">
      <c r="A1089" s="3">
        <v>2059</v>
      </c>
      <c r="B1089" s="63">
        <f t="shared" ref="B1089:K1089" si="44">AVERAGE(B540:B551)</f>
        <v>8.5669999999999984</v>
      </c>
      <c r="C1089" s="63">
        <f t="shared" si="44"/>
        <v>8.5669999999999984</v>
      </c>
      <c r="D1089" s="63">
        <f t="shared" si="44"/>
        <v>8.5952750000000009</v>
      </c>
      <c r="E1089" s="63">
        <f t="shared" si="44"/>
        <v>9.9856583333333333</v>
      </c>
      <c r="F1089" s="63">
        <f t="shared" si="44"/>
        <v>9.9856583333333333</v>
      </c>
      <c r="G1089" s="63">
        <f t="shared" si="44"/>
        <v>9.9867583333333343</v>
      </c>
      <c r="H1089" s="63">
        <f t="shared" si="44"/>
        <v>16.966683333333329</v>
      </c>
      <c r="I1089" s="63">
        <f t="shared" si="44"/>
        <v>16.967791666666667</v>
      </c>
      <c r="J1089" s="63">
        <f t="shared" si="44"/>
        <v>9.9856583333333333</v>
      </c>
      <c r="K1089" s="63">
        <f t="shared" si="44"/>
        <v>9.9867583333333343</v>
      </c>
    </row>
    <row r="1090" spans="1:11" ht="15">
      <c r="A1090" s="3">
        <v>2060</v>
      </c>
      <c r="B1090" s="63">
        <f t="shared" ref="B1090:K1090" si="45">AVERAGE(B552:B563)</f>
        <v>8.8013749999999984</v>
      </c>
      <c r="C1090" s="63">
        <f t="shared" si="45"/>
        <v>8.8013749999999984</v>
      </c>
      <c r="D1090" s="63">
        <f t="shared" si="45"/>
        <v>8.8296666666666681</v>
      </c>
      <c r="E1090" s="63">
        <f t="shared" si="45"/>
        <v>10.265124999999999</v>
      </c>
      <c r="F1090" s="63">
        <f t="shared" si="45"/>
        <v>10.265124999999999</v>
      </c>
      <c r="G1090" s="63">
        <f t="shared" si="45"/>
        <v>10.266233333333334</v>
      </c>
      <c r="H1090" s="63">
        <f t="shared" si="45"/>
        <v>17.395733333333336</v>
      </c>
      <c r="I1090" s="63">
        <f t="shared" si="45"/>
        <v>17.396841666666667</v>
      </c>
      <c r="J1090" s="63">
        <f t="shared" si="45"/>
        <v>10.265124999999999</v>
      </c>
      <c r="K1090" s="63">
        <f t="shared" si="45"/>
        <v>10.266233333333334</v>
      </c>
    </row>
    <row r="1091" spans="1:11" ht="15">
      <c r="A1091" s="3">
        <v>2061</v>
      </c>
      <c r="B1091" s="63">
        <f t="shared" ref="B1091:K1091" si="46">AVERAGE(B564:B575)</f>
        <v>9.0422333333333338</v>
      </c>
      <c r="C1091" s="63">
        <f t="shared" si="46"/>
        <v>9.0422333333333338</v>
      </c>
      <c r="D1091" s="63">
        <f t="shared" si="46"/>
        <v>9.0705249999999982</v>
      </c>
      <c r="E1091" s="63">
        <f t="shared" si="46"/>
        <v>10.552424999999999</v>
      </c>
      <c r="F1091" s="63">
        <f t="shared" si="46"/>
        <v>10.552424999999999</v>
      </c>
      <c r="G1091" s="63">
        <f t="shared" si="46"/>
        <v>10.55355</v>
      </c>
      <c r="H1091" s="63">
        <f t="shared" si="46"/>
        <v>17.835633333333334</v>
      </c>
      <c r="I1091" s="63">
        <f t="shared" si="46"/>
        <v>17.836766666666666</v>
      </c>
      <c r="J1091" s="63">
        <f t="shared" si="46"/>
        <v>10.552424999999999</v>
      </c>
      <c r="K1091" s="63">
        <f t="shared" si="46"/>
        <v>10.55355</v>
      </c>
    </row>
    <row r="1092" spans="1:11" ht="15">
      <c r="A1092" s="3">
        <v>2062</v>
      </c>
      <c r="B1092" s="63">
        <f t="shared" ref="B1092:K1101" ca="1" si="47">AVERAGE(OFFSET(B$576,($A1092-$A$1092)*12,0,12,1))</f>
        <v>9.2897499999999997</v>
      </c>
      <c r="C1092" s="63">
        <f t="shared" ca="1" si="47"/>
        <v>9.2897499999999997</v>
      </c>
      <c r="D1092" s="63">
        <f t="shared" ca="1" si="47"/>
        <v>9.3180416666666641</v>
      </c>
      <c r="E1092" s="63">
        <f t="shared" ca="1" si="47"/>
        <v>10.847766666666667</v>
      </c>
      <c r="F1092" s="63">
        <f t="shared" ca="1" si="47"/>
        <v>10.847766666666667</v>
      </c>
      <c r="G1092" s="63">
        <f t="shared" ca="1" si="47"/>
        <v>10.8489</v>
      </c>
      <c r="H1092" s="63">
        <f t="shared" ca="1" si="47"/>
        <v>18.286683333333333</v>
      </c>
      <c r="I1092" s="63">
        <f t="shared" ca="1" si="47"/>
        <v>18.287800000000001</v>
      </c>
      <c r="J1092" s="63">
        <f t="shared" ca="1" si="47"/>
        <v>10.847766666666667</v>
      </c>
      <c r="K1092" s="63">
        <f t="shared" ca="1" si="47"/>
        <v>10.8489</v>
      </c>
    </row>
    <row r="1093" spans="1:11" ht="15">
      <c r="A1093" s="3">
        <v>2063</v>
      </c>
      <c r="B1093" s="63">
        <f t="shared" ca="1" si="47"/>
        <v>9.5372666666666657</v>
      </c>
      <c r="C1093" s="63">
        <f t="shared" ca="1" si="47"/>
        <v>9.5372666666666657</v>
      </c>
      <c r="D1093" s="63">
        <f t="shared" ca="1" si="47"/>
        <v>9.56555</v>
      </c>
      <c r="E1093" s="63">
        <f t="shared" ca="1" si="47"/>
        <v>11.143116666666666</v>
      </c>
      <c r="F1093" s="63">
        <f t="shared" ca="1" si="47"/>
        <v>11.143116666666666</v>
      </c>
      <c r="G1093" s="63">
        <f t="shared" ca="1" si="47"/>
        <v>11.144241666666666</v>
      </c>
      <c r="H1093" s="63">
        <f t="shared" ca="1" si="47"/>
        <v>18.7377</v>
      </c>
      <c r="I1093" s="63">
        <f t="shared" ca="1" si="47"/>
        <v>18.738850000000003</v>
      </c>
      <c r="J1093" s="63">
        <f t="shared" ca="1" si="47"/>
        <v>11.143116666666666</v>
      </c>
      <c r="K1093" s="63">
        <f t="shared" ca="1" si="47"/>
        <v>11.144241666666666</v>
      </c>
    </row>
    <row r="1094" spans="1:11" ht="15">
      <c r="A1094" s="3">
        <v>2064</v>
      </c>
      <c r="B1094" s="63">
        <f t="shared" ca="1" si="47"/>
        <v>9.7848083333333342</v>
      </c>
      <c r="C1094" s="63">
        <f t="shared" ca="1" si="47"/>
        <v>9.7848083333333342</v>
      </c>
      <c r="D1094" s="63">
        <f t="shared" ca="1" si="47"/>
        <v>9.8130833333333332</v>
      </c>
      <c r="E1094" s="63">
        <f t="shared" ca="1" si="47"/>
        <v>11.438450000000001</v>
      </c>
      <c r="F1094" s="63">
        <f t="shared" ca="1" si="47"/>
        <v>11.438450000000001</v>
      </c>
      <c r="G1094" s="63">
        <f t="shared" ca="1" si="47"/>
        <v>11.439583333333333</v>
      </c>
      <c r="H1094" s="63">
        <f t="shared" ca="1" si="47"/>
        <v>19.188758333333329</v>
      </c>
      <c r="I1094" s="63">
        <f t="shared" ca="1" si="47"/>
        <v>19.189874999999997</v>
      </c>
      <c r="J1094" s="63">
        <f t="shared" ca="1" si="47"/>
        <v>11.438450000000001</v>
      </c>
      <c r="K1094" s="63">
        <f t="shared" ca="1" si="47"/>
        <v>11.439583333333333</v>
      </c>
    </row>
    <row r="1095" spans="1:11" ht="15">
      <c r="A1095" s="3">
        <v>2065</v>
      </c>
      <c r="B1095" s="63">
        <f t="shared" ca="1" si="47"/>
        <v>10.032308333333335</v>
      </c>
      <c r="C1095" s="63">
        <f t="shared" ca="1" si="47"/>
        <v>10.032308333333335</v>
      </c>
      <c r="D1095" s="63">
        <f t="shared" ca="1" si="47"/>
        <v>10.060608333333333</v>
      </c>
      <c r="E1095" s="63">
        <f t="shared" ca="1" si="47"/>
        <v>11.733808333333334</v>
      </c>
      <c r="F1095" s="63">
        <f t="shared" ca="1" si="47"/>
        <v>11.733808333333334</v>
      </c>
      <c r="G1095" s="63">
        <f t="shared" ca="1" si="47"/>
        <v>11.734908333333331</v>
      </c>
      <c r="H1095" s="63">
        <f t="shared" ca="1" si="47"/>
        <v>19.639800000000005</v>
      </c>
      <c r="I1095" s="63">
        <f t="shared" ca="1" si="47"/>
        <v>19.640891666666668</v>
      </c>
      <c r="J1095" s="63">
        <f t="shared" ca="1" si="47"/>
        <v>11.733808333333334</v>
      </c>
      <c r="K1095" s="63">
        <f t="shared" ca="1" si="47"/>
        <v>11.734908333333331</v>
      </c>
    </row>
    <row r="1096" spans="1:11" ht="15">
      <c r="A1096" s="3">
        <v>2066</v>
      </c>
      <c r="B1096" s="63">
        <f t="shared" ca="1" si="47"/>
        <v>10.279825000000001</v>
      </c>
      <c r="C1096" s="63">
        <f t="shared" ca="1" si="47"/>
        <v>10.279825000000001</v>
      </c>
      <c r="D1096" s="63">
        <f t="shared" ca="1" si="47"/>
        <v>10.308124999999999</v>
      </c>
      <c r="E1096" s="63">
        <f t="shared" ca="1" si="47"/>
        <v>12.029158333333333</v>
      </c>
      <c r="F1096" s="63">
        <f t="shared" ca="1" si="47"/>
        <v>12.029158333333333</v>
      </c>
      <c r="G1096" s="63">
        <f t="shared" ca="1" si="47"/>
        <v>12.030258333333334</v>
      </c>
      <c r="H1096" s="63">
        <f t="shared" ca="1" si="47"/>
        <v>20.090816666666665</v>
      </c>
      <c r="I1096" s="63">
        <f t="shared" ca="1" si="47"/>
        <v>20.091958333333334</v>
      </c>
      <c r="J1096" s="63">
        <f t="shared" ca="1" si="47"/>
        <v>12.029158333333333</v>
      </c>
      <c r="K1096" s="63">
        <f t="shared" ca="1" si="47"/>
        <v>12.030258333333334</v>
      </c>
    </row>
    <row r="1097" spans="1:11" ht="15">
      <c r="A1097" s="3">
        <v>2067</v>
      </c>
      <c r="B1097" s="63">
        <f t="shared" ca="1" si="47"/>
        <v>10.527333333333333</v>
      </c>
      <c r="C1097" s="63">
        <f t="shared" ca="1" si="47"/>
        <v>10.527333333333333</v>
      </c>
      <c r="D1097" s="63">
        <f t="shared" ca="1" si="47"/>
        <v>10.55565</v>
      </c>
      <c r="E1097" s="63">
        <f t="shared" ca="1" si="47"/>
        <v>12.324491666666667</v>
      </c>
      <c r="F1097" s="63">
        <f t="shared" ca="1" si="47"/>
        <v>12.324491666666667</v>
      </c>
      <c r="G1097" s="63">
        <f t="shared" ca="1" si="47"/>
        <v>12.325608333333333</v>
      </c>
      <c r="H1097" s="63">
        <f t="shared" ca="1" si="47"/>
        <v>20.541858333333334</v>
      </c>
      <c r="I1097" s="63">
        <f t="shared" ca="1" si="47"/>
        <v>20.542983333333336</v>
      </c>
      <c r="J1097" s="63">
        <f t="shared" ca="1" si="47"/>
        <v>12.324491666666667</v>
      </c>
      <c r="K1097" s="63">
        <f t="shared" ca="1" si="47"/>
        <v>12.325608333333333</v>
      </c>
    </row>
    <row r="1098" spans="1:11" ht="15">
      <c r="A1098" s="3">
        <v>2068</v>
      </c>
      <c r="B1098" s="63">
        <f t="shared" ca="1" si="47"/>
        <v>10.774883333333333</v>
      </c>
      <c r="C1098" s="63">
        <f t="shared" ca="1" si="47"/>
        <v>10.774883333333333</v>
      </c>
      <c r="D1098" s="63">
        <f t="shared" ca="1" si="47"/>
        <v>10.80315</v>
      </c>
      <c r="E1098" s="63">
        <f t="shared" ca="1" si="47"/>
        <v>12.619816666666667</v>
      </c>
      <c r="F1098" s="63">
        <f t="shared" ca="1" si="47"/>
        <v>12.619816666666667</v>
      </c>
      <c r="G1098" s="63">
        <f t="shared" ca="1" si="47"/>
        <v>12.620950000000001</v>
      </c>
      <c r="H1098" s="63">
        <f t="shared" ca="1" si="47"/>
        <v>20.992891666666669</v>
      </c>
      <c r="I1098" s="63">
        <f t="shared" ca="1" si="47"/>
        <v>20.994033333333334</v>
      </c>
      <c r="J1098" s="63">
        <f t="shared" ca="1" si="47"/>
        <v>12.619816666666667</v>
      </c>
      <c r="K1098" s="63">
        <f t="shared" ca="1" si="47"/>
        <v>12.620950000000001</v>
      </c>
    </row>
    <row r="1099" spans="1:11" ht="15">
      <c r="A1099" s="3">
        <v>2069</v>
      </c>
      <c r="B1099" s="63">
        <f t="shared" ca="1" si="47"/>
        <v>11.022399999999999</v>
      </c>
      <c r="C1099" s="63">
        <f t="shared" ca="1" si="47"/>
        <v>11.022399999999999</v>
      </c>
      <c r="D1099" s="63">
        <f t="shared" ca="1" si="47"/>
        <v>11.050683333333332</v>
      </c>
      <c r="E1099" s="63">
        <f t="shared" ca="1" si="47"/>
        <v>12.915183333333333</v>
      </c>
      <c r="F1099" s="63">
        <f t="shared" ca="1" si="47"/>
        <v>12.915183333333333</v>
      </c>
      <c r="G1099" s="63">
        <f t="shared" ca="1" si="47"/>
        <v>12.916274999999999</v>
      </c>
      <c r="H1099" s="63">
        <f t="shared" ca="1" si="47"/>
        <v>21.443916666666667</v>
      </c>
      <c r="I1099" s="63">
        <f t="shared" ca="1" si="47"/>
        <v>21.445049999999998</v>
      </c>
      <c r="J1099" s="63">
        <f t="shared" ca="1" si="47"/>
        <v>12.915183333333333</v>
      </c>
      <c r="K1099" s="63">
        <f t="shared" ca="1" si="47"/>
        <v>12.916274999999999</v>
      </c>
    </row>
    <row r="1100" spans="1:11" ht="15">
      <c r="A1100" s="3">
        <v>2070</v>
      </c>
      <c r="B1100" s="63">
        <f t="shared" ca="1" si="47"/>
        <v>11.269908333333333</v>
      </c>
      <c r="C1100" s="63">
        <f t="shared" ca="1" si="47"/>
        <v>11.269908333333333</v>
      </c>
      <c r="D1100" s="63">
        <f t="shared" ca="1" si="47"/>
        <v>11.298208333333333</v>
      </c>
      <c r="E1100" s="63">
        <f t="shared" ca="1" si="47"/>
        <v>13.210500000000001</v>
      </c>
      <c r="F1100" s="63">
        <f t="shared" ca="1" si="47"/>
        <v>13.210500000000001</v>
      </c>
      <c r="G1100" s="63">
        <f t="shared" ca="1" si="47"/>
        <v>13.211649999999999</v>
      </c>
      <c r="H1100" s="63">
        <f t="shared" ca="1" si="47"/>
        <v>21.894974999999999</v>
      </c>
      <c r="I1100" s="63">
        <f t="shared" ca="1" si="47"/>
        <v>21.896091666666663</v>
      </c>
      <c r="J1100" s="63">
        <f t="shared" ca="1" si="47"/>
        <v>13.210500000000001</v>
      </c>
      <c r="K1100" s="63">
        <f t="shared" ca="1" si="47"/>
        <v>13.211649999999999</v>
      </c>
    </row>
    <row r="1101" spans="1:11" ht="15">
      <c r="A1101" s="3">
        <v>2071</v>
      </c>
      <c r="B1101" s="63">
        <f t="shared" ca="1" si="47"/>
        <v>11.517416666666669</v>
      </c>
      <c r="C1101" s="63">
        <f t="shared" ca="1" si="47"/>
        <v>11.517416666666669</v>
      </c>
      <c r="D1101" s="63">
        <f t="shared" ca="1" si="47"/>
        <v>11.545724999999999</v>
      </c>
      <c r="E1101" s="63">
        <f t="shared" ca="1" si="47"/>
        <v>13.505833333333333</v>
      </c>
      <c r="F1101" s="63">
        <f t="shared" ca="1" si="47"/>
        <v>13.505833333333333</v>
      </c>
      <c r="G1101" s="63">
        <f t="shared" ca="1" si="47"/>
        <v>13.506975000000002</v>
      </c>
      <c r="H1101" s="63">
        <f t="shared" ca="1" si="47"/>
        <v>22.346016666666667</v>
      </c>
      <c r="I1101" s="63">
        <f t="shared" ca="1" si="47"/>
        <v>22.347108333333335</v>
      </c>
      <c r="J1101" s="63">
        <f t="shared" ca="1" si="47"/>
        <v>13.505833333333333</v>
      </c>
      <c r="K1101" s="63">
        <f t="shared" ca="1" si="47"/>
        <v>13.506975000000002</v>
      </c>
    </row>
    <row r="1102" spans="1:11" ht="15">
      <c r="A1102" s="3">
        <v>2072</v>
      </c>
      <c r="B1102" s="63">
        <f t="shared" ref="B1102:K1111" ca="1" si="48">AVERAGE(OFFSET(B$576,($A1102-$A$1092)*12,0,12,1))</f>
        <v>11.764941666666667</v>
      </c>
      <c r="C1102" s="63">
        <f t="shared" ca="1" si="48"/>
        <v>11.764941666666667</v>
      </c>
      <c r="D1102" s="63">
        <f t="shared" ca="1" si="48"/>
        <v>11.793233333333331</v>
      </c>
      <c r="E1102" s="63">
        <f t="shared" ca="1" si="48"/>
        <v>13.801191666666668</v>
      </c>
      <c r="F1102" s="63">
        <f t="shared" ca="1" si="48"/>
        <v>13.801191666666668</v>
      </c>
      <c r="G1102" s="63">
        <f t="shared" ca="1" si="48"/>
        <v>13.802316666666668</v>
      </c>
      <c r="H1102" s="63">
        <f t="shared" ca="1" si="48"/>
        <v>22.797041666666669</v>
      </c>
      <c r="I1102" s="63">
        <f t="shared" ca="1" si="48"/>
        <v>22.798158333333333</v>
      </c>
      <c r="J1102" s="63">
        <f t="shared" ca="1" si="48"/>
        <v>13.801191666666668</v>
      </c>
      <c r="K1102" s="63">
        <f t="shared" ca="1" si="48"/>
        <v>13.802316666666668</v>
      </c>
    </row>
    <row r="1103" spans="1:11" ht="15">
      <c r="A1103" s="3">
        <v>2073</v>
      </c>
      <c r="B1103" s="63">
        <f t="shared" ca="1" si="48"/>
        <v>12.012483333333334</v>
      </c>
      <c r="C1103" s="63">
        <f t="shared" ca="1" si="48"/>
        <v>12.012483333333334</v>
      </c>
      <c r="D1103" s="63">
        <f t="shared" ca="1" si="48"/>
        <v>12.040749999999997</v>
      </c>
      <c r="E1103" s="63">
        <f t="shared" ca="1" si="48"/>
        <v>14.096541666666665</v>
      </c>
      <c r="F1103" s="63">
        <f t="shared" ca="1" si="48"/>
        <v>14.096541666666665</v>
      </c>
      <c r="G1103" s="63">
        <f t="shared" ca="1" si="48"/>
        <v>14.097666666666667</v>
      </c>
      <c r="H1103" s="63">
        <f t="shared" ca="1" si="48"/>
        <v>23.248075000000004</v>
      </c>
      <c r="I1103" s="63">
        <f t="shared" ca="1" si="48"/>
        <v>23.249199999999998</v>
      </c>
      <c r="J1103" s="63">
        <f t="shared" ca="1" si="48"/>
        <v>14.096541666666665</v>
      </c>
      <c r="K1103" s="63">
        <f t="shared" ca="1" si="48"/>
        <v>14.097666666666667</v>
      </c>
    </row>
    <row r="1104" spans="1:11" ht="15">
      <c r="A1104" s="3">
        <v>2074</v>
      </c>
      <c r="B1104" s="63">
        <f t="shared" ca="1" si="48"/>
        <v>12.259991666666666</v>
      </c>
      <c r="C1104" s="63">
        <f t="shared" ca="1" si="48"/>
        <v>12.259991666666666</v>
      </c>
      <c r="D1104" s="63">
        <f t="shared" ca="1" si="48"/>
        <v>12.288266666666665</v>
      </c>
      <c r="E1104" s="63">
        <f t="shared" ca="1" si="48"/>
        <v>14.391883333333332</v>
      </c>
      <c r="F1104" s="63">
        <f t="shared" ca="1" si="48"/>
        <v>14.391883333333332</v>
      </c>
      <c r="G1104" s="63">
        <f t="shared" ca="1" si="48"/>
        <v>14.393008333333333</v>
      </c>
      <c r="H1104" s="63">
        <f t="shared" ca="1" si="48"/>
        <v>23.699116666666665</v>
      </c>
      <c r="I1104" s="63">
        <f t="shared" ca="1" si="48"/>
        <v>23.70024166666667</v>
      </c>
      <c r="J1104" s="63">
        <f t="shared" ca="1" si="48"/>
        <v>14.391883333333332</v>
      </c>
      <c r="K1104" s="63">
        <f t="shared" ca="1" si="48"/>
        <v>14.393008333333333</v>
      </c>
    </row>
    <row r="1105" spans="1:11" ht="15">
      <c r="A1105" s="3">
        <v>2075</v>
      </c>
      <c r="B1105" s="63">
        <f t="shared" ca="1" si="48"/>
        <v>12.5075</v>
      </c>
      <c r="C1105" s="63">
        <f t="shared" ca="1" si="48"/>
        <v>12.5075</v>
      </c>
      <c r="D1105" s="63">
        <f t="shared" ca="1" si="48"/>
        <v>12.5358</v>
      </c>
      <c r="E1105" s="63">
        <f t="shared" ca="1" si="48"/>
        <v>14.687225000000003</v>
      </c>
      <c r="F1105" s="63">
        <f t="shared" ca="1" si="48"/>
        <v>14.687225000000003</v>
      </c>
      <c r="G1105" s="63">
        <f t="shared" ca="1" si="48"/>
        <v>14.688341666666666</v>
      </c>
      <c r="H1105" s="63">
        <f t="shared" ca="1" si="48"/>
        <v>24.150158333333334</v>
      </c>
      <c r="I1105" s="63">
        <f t="shared" ca="1" si="48"/>
        <v>24.151274999999998</v>
      </c>
      <c r="J1105" s="63">
        <f t="shared" ca="1" si="48"/>
        <v>14.687225000000003</v>
      </c>
      <c r="K1105" s="63">
        <f t="shared" ca="1" si="48"/>
        <v>14.688341666666666</v>
      </c>
    </row>
    <row r="1106" spans="1:11" ht="15">
      <c r="A1106" s="3">
        <v>2076</v>
      </c>
      <c r="B1106" s="63">
        <f t="shared" ca="1" si="48"/>
        <v>12.755041666666669</v>
      </c>
      <c r="C1106" s="63">
        <f t="shared" ca="1" si="48"/>
        <v>12.755041666666669</v>
      </c>
      <c r="D1106" s="63">
        <f t="shared" ca="1" si="48"/>
        <v>12.783308333333332</v>
      </c>
      <c r="E1106" s="63">
        <f t="shared" ca="1" si="48"/>
        <v>14.982583333333332</v>
      </c>
      <c r="F1106" s="63">
        <f t="shared" ca="1" si="48"/>
        <v>14.982583333333332</v>
      </c>
      <c r="G1106" s="63">
        <f t="shared" ca="1" si="48"/>
        <v>14.983699999999997</v>
      </c>
      <c r="H1106" s="63">
        <f t="shared" ca="1" si="48"/>
        <v>24.601200000000002</v>
      </c>
      <c r="I1106" s="63">
        <f t="shared" ca="1" si="48"/>
        <v>24.6023</v>
      </c>
      <c r="J1106" s="63">
        <f t="shared" ca="1" si="48"/>
        <v>14.982583333333332</v>
      </c>
      <c r="K1106" s="63">
        <f t="shared" ca="1" si="48"/>
        <v>14.983699999999997</v>
      </c>
    </row>
    <row r="1107" spans="1:11" ht="15">
      <c r="A1107" s="3">
        <v>2077</v>
      </c>
      <c r="B1107" s="63">
        <f t="shared" ca="1" si="48"/>
        <v>13.002541666666668</v>
      </c>
      <c r="C1107" s="63">
        <f t="shared" ca="1" si="48"/>
        <v>13.002541666666668</v>
      </c>
      <c r="D1107" s="63">
        <f t="shared" ca="1" si="48"/>
        <v>13.030833333333334</v>
      </c>
      <c r="E1107" s="63">
        <f t="shared" ca="1" si="48"/>
        <v>15.277916666666664</v>
      </c>
      <c r="F1107" s="63">
        <f t="shared" ca="1" si="48"/>
        <v>15.277916666666664</v>
      </c>
      <c r="G1107" s="63">
        <f t="shared" ca="1" si="48"/>
        <v>15.279041666666666</v>
      </c>
      <c r="H1107" s="63">
        <f t="shared" ca="1" si="48"/>
        <v>25.052241666666664</v>
      </c>
      <c r="I1107" s="63">
        <f t="shared" ca="1" si="48"/>
        <v>25.053325000000001</v>
      </c>
      <c r="J1107" s="63">
        <f t="shared" ca="1" si="48"/>
        <v>15.277916666666664</v>
      </c>
      <c r="K1107" s="63">
        <f t="shared" ca="1" si="48"/>
        <v>15.279041666666666</v>
      </c>
    </row>
    <row r="1108" spans="1:11" ht="15">
      <c r="A1108" s="3">
        <v>2078</v>
      </c>
      <c r="B1108" s="63">
        <f t="shared" ca="1" si="48"/>
        <v>13.250050000000002</v>
      </c>
      <c r="C1108" s="63">
        <f t="shared" ca="1" si="48"/>
        <v>13.250050000000002</v>
      </c>
      <c r="D1108" s="63">
        <f t="shared" ca="1" si="48"/>
        <v>13.278358333333331</v>
      </c>
      <c r="E1108" s="63">
        <f t="shared" ca="1" si="48"/>
        <v>15.573258333333335</v>
      </c>
      <c r="F1108" s="63">
        <f t="shared" ca="1" si="48"/>
        <v>15.573258333333335</v>
      </c>
      <c r="G1108" s="63">
        <f t="shared" ca="1" si="48"/>
        <v>15.574383333333337</v>
      </c>
      <c r="H1108" s="63">
        <f t="shared" ca="1" si="48"/>
        <v>25.503249999999998</v>
      </c>
      <c r="I1108" s="63">
        <f t="shared" ca="1" si="48"/>
        <v>25.504383333333337</v>
      </c>
      <c r="J1108" s="63">
        <f t="shared" ca="1" si="48"/>
        <v>15.573258333333335</v>
      </c>
      <c r="K1108" s="63">
        <f t="shared" ca="1" si="48"/>
        <v>15.574383333333337</v>
      </c>
    </row>
    <row r="1109" spans="1:11" ht="15">
      <c r="A1109" s="3">
        <v>2079</v>
      </c>
      <c r="B1109" s="63">
        <f t="shared" ca="1" si="48"/>
        <v>13.497583333333333</v>
      </c>
      <c r="C1109" s="63">
        <f t="shared" ca="1" si="48"/>
        <v>13.497583333333333</v>
      </c>
      <c r="D1109" s="63">
        <f t="shared" ca="1" si="48"/>
        <v>13.525866666666666</v>
      </c>
      <c r="E1109" s="63">
        <f t="shared" ca="1" si="48"/>
        <v>15.868608333333333</v>
      </c>
      <c r="F1109" s="63">
        <f t="shared" ca="1" si="48"/>
        <v>15.868608333333333</v>
      </c>
      <c r="G1109" s="63">
        <f t="shared" ca="1" si="48"/>
        <v>15.869716666666667</v>
      </c>
      <c r="H1109" s="63">
        <f t="shared" ca="1" si="48"/>
        <v>25.954283333333333</v>
      </c>
      <c r="I1109" s="63">
        <f t="shared" ca="1" si="48"/>
        <v>25.955416666666668</v>
      </c>
      <c r="J1109" s="63">
        <f t="shared" ca="1" si="48"/>
        <v>15.868608333333333</v>
      </c>
      <c r="K1109" s="63">
        <f t="shared" ca="1" si="48"/>
        <v>15.869716666666667</v>
      </c>
    </row>
    <row r="1110" spans="1:11" ht="15">
      <c r="A1110" s="3">
        <v>2080</v>
      </c>
      <c r="B1110" s="63">
        <f t="shared" ca="1" si="48"/>
        <v>13.745116666666668</v>
      </c>
      <c r="C1110" s="63">
        <f t="shared" ca="1" si="48"/>
        <v>13.745116666666668</v>
      </c>
      <c r="D1110" s="63">
        <f t="shared" ca="1" si="48"/>
        <v>13.77338333333333</v>
      </c>
      <c r="E1110" s="63">
        <f t="shared" ca="1" si="48"/>
        <v>16.163950000000003</v>
      </c>
      <c r="F1110" s="63">
        <f t="shared" ca="1" si="48"/>
        <v>16.163950000000003</v>
      </c>
      <c r="G1110" s="63">
        <f t="shared" ca="1" si="48"/>
        <v>16.165058333333331</v>
      </c>
      <c r="H1110" s="63">
        <f t="shared" ca="1" si="48"/>
        <v>26.405316666666661</v>
      </c>
      <c r="I1110" s="63">
        <f t="shared" ca="1" si="48"/>
        <v>26.406450000000003</v>
      </c>
      <c r="J1110" s="63">
        <f t="shared" ca="1" si="48"/>
        <v>16.163950000000003</v>
      </c>
      <c r="K1110" s="63">
        <f t="shared" ca="1" si="48"/>
        <v>16.165058333333331</v>
      </c>
    </row>
    <row r="1111" spans="1:11" ht="15">
      <c r="A1111" s="3">
        <v>2081</v>
      </c>
      <c r="B1111" s="63">
        <f t="shared" ca="1" si="48"/>
        <v>13.992633333333336</v>
      </c>
      <c r="C1111" s="63">
        <f t="shared" ca="1" si="48"/>
        <v>13.992633333333336</v>
      </c>
      <c r="D1111" s="63">
        <f t="shared" ca="1" si="48"/>
        <v>14.020916666666665</v>
      </c>
      <c r="E1111" s="63">
        <f t="shared" ca="1" si="48"/>
        <v>16.459275000000002</v>
      </c>
      <c r="F1111" s="63">
        <f t="shared" ca="1" si="48"/>
        <v>16.459275000000002</v>
      </c>
      <c r="G1111" s="63">
        <f t="shared" ca="1" si="48"/>
        <v>16.460416666666667</v>
      </c>
      <c r="H1111" s="63">
        <f t="shared" ca="1" si="48"/>
        <v>26.856358333333333</v>
      </c>
      <c r="I1111" s="63">
        <f t="shared" ca="1" si="48"/>
        <v>26.857483333333334</v>
      </c>
      <c r="J1111" s="63">
        <f t="shared" ca="1" si="48"/>
        <v>16.459275000000002</v>
      </c>
      <c r="K1111" s="63">
        <f t="shared" ca="1" si="48"/>
        <v>16.460416666666667</v>
      </c>
    </row>
    <row r="1112" spans="1:11" ht="15">
      <c r="A1112" s="3">
        <v>2082</v>
      </c>
      <c r="B1112" s="63">
        <f t="shared" ref="B1112:K1121" ca="1" si="49">AVERAGE(OFFSET(B$576,($A1112-$A$1092)*12,0,12,1))</f>
        <v>14.240133333333334</v>
      </c>
      <c r="C1112" s="63">
        <f t="shared" ca="1" si="49"/>
        <v>14.240133333333334</v>
      </c>
      <c r="D1112" s="63">
        <f t="shared" ca="1" si="49"/>
        <v>14.268424999999999</v>
      </c>
      <c r="E1112" s="63">
        <f t="shared" ca="1" si="49"/>
        <v>16.754633333333334</v>
      </c>
      <c r="F1112" s="63">
        <f t="shared" ca="1" si="49"/>
        <v>16.754633333333334</v>
      </c>
      <c r="G1112" s="63">
        <f t="shared" ca="1" si="49"/>
        <v>16.755741666666669</v>
      </c>
      <c r="H1112" s="63">
        <f t="shared" ca="1" si="49"/>
        <v>27.307400000000001</v>
      </c>
      <c r="I1112" s="63">
        <f t="shared" ca="1" si="49"/>
        <v>27.308516666666666</v>
      </c>
      <c r="J1112" s="63">
        <f t="shared" ca="1" si="49"/>
        <v>16.754633333333334</v>
      </c>
      <c r="K1112" s="63">
        <f t="shared" ca="1" si="49"/>
        <v>16.755741666666669</v>
      </c>
    </row>
    <row r="1113" spans="1:11" ht="15">
      <c r="A1113" s="3">
        <v>2083</v>
      </c>
      <c r="B1113" s="63">
        <f t="shared" ca="1" si="49"/>
        <v>14.487650000000002</v>
      </c>
      <c r="C1113" s="63">
        <f t="shared" ca="1" si="49"/>
        <v>14.487650000000002</v>
      </c>
      <c r="D1113" s="63">
        <f t="shared" ca="1" si="49"/>
        <v>14.515958333333332</v>
      </c>
      <c r="E1113" s="63">
        <f t="shared" ca="1" si="49"/>
        <v>17.049966666666666</v>
      </c>
      <c r="F1113" s="63">
        <f t="shared" ca="1" si="49"/>
        <v>17.049966666666666</v>
      </c>
      <c r="G1113" s="63">
        <f t="shared" ca="1" si="49"/>
        <v>17.051099999999998</v>
      </c>
      <c r="H1113" s="63">
        <f t="shared" ca="1" si="49"/>
        <v>27.758433333333329</v>
      </c>
      <c r="I1113" s="63">
        <f t="shared" ca="1" si="49"/>
        <v>27.759558333333331</v>
      </c>
      <c r="J1113" s="63">
        <f t="shared" ca="1" si="49"/>
        <v>17.049966666666666</v>
      </c>
      <c r="K1113" s="63">
        <f t="shared" ca="1" si="49"/>
        <v>17.051099999999998</v>
      </c>
    </row>
    <row r="1114" spans="1:11" ht="15">
      <c r="A1114" s="3">
        <v>2084</v>
      </c>
      <c r="B1114" s="63">
        <f t="shared" ca="1" si="49"/>
        <v>14.735199999999997</v>
      </c>
      <c r="C1114" s="63">
        <f t="shared" ca="1" si="49"/>
        <v>14.735199999999997</v>
      </c>
      <c r="D1114" s="63">
        <f t="shared" ca="1" si="49"/>
        <v>14.763466666666666</v>
      </c>
      <c r="E1114" s="63">
        <f t="shared" ca="1" si="49"/>
        <v>17.345324999999999</v>
      </c>
      <c r="F1114" s="63">
        <f t="shared" ca="1" si="49"/>
        <v>17.345324999999999</v>
      </c>
      <c r="G1114" s="63">
        <f t="shared" ca="1" si="49"/>
        <v>17.346433333333334</v>
      </c>
      <c r="H1114" s="63">
        <f t="shared" ca="1" si="49"/>
        <v>28.209475000000001</v>
      </c>
      <c r="I1114" s="63">
        <f t="shared" ca="1" si="49"/>
        <v>28.210600000000003</v>
      </c>
      <c r="J1114" s="63">
        <f t="shared" ca="1" si="49"/>
        <v>17.345324999999999</v>
      </c>
      <c r="K1114" s="63">
        <f t="shared" ca="1" si="49"/>
        <v>17.346433333333334</v>
      </c>
    </row>
    <row r="1115" spans="1:11" ht="15">
      <c r="A1115" s="3">
        <v>2085</v>
      </c>
      <c r="B1115" s="63">
        <f t="shared" ca="1" si="49"/>
        <v>14.982699999999999</v>
      </c>
      <c r="C1115" s="63">
        <f t="shared" ca="1" si="49"/>
        <v>14.982699999999999</v>
      </c>
      <c r="D1115" s="63">
        <f t="shared" ca="1" si="49"/>
        <v>15.010983333333334</v>
      </c>
      <c r="E1115" s="63">
        <f t="shared" ca="1" si="49"/>
        <v>17.640658333333334</v>
      </c>
      <c r="F1115" s="63">
        <f t="shared" ca="1" si="49"/>
        <v>17.640658333333334</v>
      </c>
      <c r="G1115" s="63">
        <f t="shared" ca="1" si="49"/>
        <v>17.641783333333336</v>
      </c>
      <c r="H1115" s="63">
        <f t="shared" ca="1" si="49"/>
        <v>28.660508333333336</v>
      </c>
      <c r="I1115" s="63">
        <f t="shared" ca="1" si="49"/>
        <v>28.661633333333331</v>
      </c>
      <c r="J1115" s="63">
        <f t="shared" ca="1" si="49"/>
        <v>17.640658333333334</v>
      </c>
      <c r="K1115" s="63">
        <f t="shared" ca="1" si="49"/>
        <v>17.641783333333336</v>
      </c>
    </row>
    <row r="1116" spans="1:11" ht="15">
      <c r="A1116" s="3">
        <v>2086</v>
      </c>
      <c r="B1116" s="63">
        <f t="shared" ca="1" si="49"/>
        <v>15.230216666666664</v>
      </c>
      <c r="C1116" s="63">
        <f t="shared" ca="1" si="49"/>
        <v>15.230216666666664</v>
      </c>
      <c r="D1116" s="63">
        <f t="shared" ca="1" si="49"/>
        <v>15.258516666666667</v>
      </c>
      <c r="E1116" s="63">
        <f t="shared" ca="1" si="49"/>
        <v>17.936008333333334</v>
      </c>
      <c r="F1116" s="63">
        <f t="shared" ca="1" si="49"/>
        <v>17.936008333333334</v>
      </c>
      <c r="G1116" s="63">
        <f t="shared" ca="1" si="49"/>
        <v>17.937108333333335</v>
      </c>
      <c r="H1116" s="63">
        <f t="shared" ca="1" si="49"/>
        <v>29.11153333333333</v>
      </c>
      <c r="I1116" s="63">
        <f t="shared" ca="1" si="49"/>
        <v>29.112674999999999</v>
      </c>
      <c r="J1116" s="63">
        <f t="shared" ca="1" si="49"/>
        <v>17.936008333333334</v>
      </c>
      <c r="K1116" s="63">
        <f t="shared" ca="1" si="49"/>
        <v>17.937108333333335</v>
      </c>
    </row>
    <row r="1117" spans="1:11" ht="15">
      <c r="A1117" s="3">
        <v>2087</v>
      </c>
      <c r="B1117" s="63">
        <f t="shared" ca="1" si="49"/>
        <v>15.477733333333333</v>
      </c>
      <c r="C1117" s="63">
        <f t="shared" ca="1" si="49"/>
        <v>15.477733333333333</v>
      </c>
      <c r="D1117" s="63">
        <f t="shared" ca="1" si="49"/>
        <v>15.506033333333333</v>
      </c>
      <c r="E1117" s="63">
        <f t="shared" ca="1" si="49"/>
        <v>18.231333333333335</v>
      </c>
      <c r="F1117" s="63">
        <f t="shared" ca="1" si="49"/>
        <v>18.231333333333335</v>
      </c>
      <c r="G1117" s="63">
        <f t="shared" ca="1" si="49"/>
        <v>18.232474999999997</v>
      </c>
      <c r="H1117" s="63">
        <f t="shared" ca="1" si="49"/>
        <v>29.562583333333333</v>
      </c>
      <c r="I1117" s="63">
        <f t="shared" ca="1" si="49"/>
        <v>29.563683333333334</v>
      </c>
      <c r="J1117" s="63">
        <f t="shared" ca="1" si="49"/>
        <v>18.231333333333335</v>
      </c>
      <c r="K1117" s="63">
        <f t="shared" ca="1" si="49"/>
        <v>18.232474999999997</v>
      </c>
    </row>
    <row r="1118" spans="1:11" ht="15">
      <c r="A1118" s="3">
        <v>2088</v>
      </c>
      <c r="B1118" s="63">
        <f t="shared" ca="1" si="49"/>
        <v>15.725258333333331</v>
      </c>
      <c r="C1118" s="63">
        <f t="shared" ca="1" si="49"/>
        <v>15.725258333333331</v>
      </c>
      <c r="D1118" s="63">
        <f t="shared" ca="1" si="49"/>
        <v>15.753549999999999</v>
      </c>
      <c r="E1118" s="63">
        <f t="shared" ca="1" si="49"/>
        <v>18.526683333333335</v>
      </c>
      <c r="F1118" s="63">
        <f t="shared" ca="1" si="49"/>
        <v>18.526683333333335</v>
      </c>
      <c r="G1118" s="63">
        <f t="shared" ca="1" si="49"/>
        <v>18.527800000000003</v>
      </c>
      <c r="H1118" s="63">
        <f t="shared" ca="1" si="49"/>
        <v>30.013625000000005</v>
      </c>
      <c r="I1118" s="63">
        <f t="shared" ca="1" si="49"/>
        <v>30.014725000000002</v>
      </c>
      <c r="J1118" s="63">
        <f t="shared" ca="1" si="49"/>
        <v>18.526683333333335</v>
      </c>
      <c r="K1118" s="63">
        <f t="shared" ca="1" si="49"/>
        <v>18.527800000000003</v>
      </c>
    </row>
    <row r="1119" spans="1:11" ht="15">
      <c r="A1119" s="3">
        <v>2089</v>
      </c>
      <c r="B1119" s="63">
        <f t="shared" ca="1" si="49"/>
        <v>15.972775000000004</v>
      </c>
      <c r="C1119" s="63">
        <f t="shared" ca="1" si="49"/>
        <v>15.972775000000004</v>
      </c>
      <c r="D1119" s="63">
        <f t="shared" ca="1" si="49"/>
        <v>16.001058333333333</v>
      </c>
      <c r="E1119" s="63">
        <f t="shared" ca="1" si="49"/>
        <v>18.822033333333334</v>
      </c>
      <c r="F1119" s="63">
        <f t="shared" ca="1" si="49"/>
        <v>18.822033333333334</v>
      </c>
      <c r="G1119" s="63">
        <f t="shared" ca="1" si="49"/>
        <v>18.823158333333335</v>
      </c>
      <c r="H1119" s="63">
        <f t="shared" ca="1" si="49"/>
        <v>30.464666666666663</v>
      </c>
      <c r="I1119" s="63">
        <f t="shared" ca="1" si="49"/>
        <v>30.465774999999997</v>
      </c>
      <c r="J1119" s="63">
        <f t="shared" ca="1" si="49"/>
        <v>18.822033333333334</v>
      </c>
      <c r="K1119" s="63">
        <f t="shared" ca="1" si="49"/>
        <v>18.823158333333335</v>
      </c>
    </row>
    <row r="1120" spans="1:11" ht="15">
      <c r="A1120" s="3">
        <v>2090</v>
      </c>
      <c r="B1120" s="63">
        <f t="shared" ca="1" si="49"/>
        <v>16.220299999999998</v>
      </c>
      <c r="C1120" s="63">
        <f t="shared" ca="1" si="49"/>
        <v>16.220299999999998</v>
      </c>
      <c r="D1120" s="63">
        <f t="shared" ca="1" si="49"/>
        <v>16.248583333333332</v>
      </c>
      <c r="E1120" s="63">
        <f t="shared" ca="1" si="49"/>
        <v>19.117366666666669</v>
      </c>
      <c r="F1120" s="63">
        <f t="shared" ca="1" si="49"/>
        <v>19.117366666666669</v>
      </c>
      <c r="G1120" s="63">
        <f t="shared" ca="1" si="49"/>
        <v>19.11848333333333</v>
      </c>
      <c r="H1120" s="63">
        <f t="shared" ca="1" si="49"/>
        <v>30.915683333333337</v>
      </c>
      <c r="I1120" s="63">
        <f t="shared" ca="1" si="49"/>
        <v>30.916816666666673</v>
      </c>
      <c r="J1120" s="63">
        <f t="shared" ca="1" si="49"/>
        <v>19.117366666666669</v>
      </c>
      <c r="K1120" s="63">
        <f t="shared" ca="1" si="49"/>
        <v>19.11848333333333</v>
      </c>
    </row>
    <row r="1121" spans="1:11" ht="15">
      <c r="A1121" s="3">
        <v>2091</v>
      </c>
      <c r="B1121" s="63">
        <f t="shared" ca="1" si="49"/>
        <v>16.467799999999997</v>
      </c>
      <c r="C1121" s="63">
        <f t="shared" ca="1" si="49"/>
        <v>16.467799999999997</v>
      </c>
      <c r="D1121" s="63">
        <f t="shared" ca="1" si="49"/>
        <v>16.496108333333336</v>
      </c>
      <c r="E1121" s="63">
        <f t="shared" ca="1" si="49"/>
        <v>19.412708333333331</v>
      </c>
      <c r="F1121" s="63">
        <f t="shared" ca="1" si="49"/>
        <v>19.412708333333331</v>
      </c>
      <c r="G1121" s="63">
        <f t="shared" ca="1" si="49"/>
        <v>19.413841666666666</v>
      </c>
      <c r="H1121" s="63">
        <f t="shared" ca="1" si="49"/>
        <v>31.366708333333332</v>
      </c>
      <c r="I1121" s="63">
        <f t="shared" ca="1" si="49"/>
        <v>31.367833333333333</v>
      </c>
      <c r="J1121" s="63">
        <f t="shared" ca="1" si="49"/>
        <v>19.412708333333331</v>
      </c>
      <c r="K1121" s="63">
        <f t="shared" ca="1" si="49"/>
        <v>19.413841666666666</v>
      </c>
    </row>
    <row r="1122" spans="1:11" ht="15">
      <c r="A1122" s="3">
        <v>2092</v>
      </c>
      <c r="B1122" s="63">
        <f t="shared" ref="B1122:K1130" ca="1" si="50">AVERAGE(OFFSET(B$576,($A1122-$A$1092)*12,0,12,1))</f>
        <v>16.715349999999997</v>
      </c>
      <c r="C1122" s="63">
        <f t="shared" ca="1" si="50"/>
        <v>16.715349999999997</v>
      </c>
      <c r="D1122" s="63">
        <f t="shared" ca="1" si="50"/>
        <v>16.743625000000005</v>
      </c>
      <c r="E1122" s="63">
        <f t="shared" ca="1" si="50"/>
        <v>19.708050000000004</v>
      </c>
      <c r="F1122" s="63">
        <f t="shared" ca="1" si="50"/>
        <v>19.708050000000004</v>
      </c>
      <c r="G1122" s="63">
        <f t="shared" ca="1" si="50"/>
        <v>19.709175000000002</v>
      </c>
      <c r="H1122" s="63">
        <f t="shared" ca="1" si="50"/>
        <v>31.817750000000007</v>
      </c>
      <c r="I1122" s="63">
        <f t="shared" ca="1" si="50"/>
        <v>31.818883333333332</v>
      </c>
      <c r="J1122" s="63">
        <f t="shared" ca="1" si="50"/>
        <v>19.708050000000004</v>
      </c>
      <c r="K1122" s="63">
        <f t="shared" ca="1" si="50"/>
        <v>19.709175000000002</v>
      </c>
    </row>
    <row r="1123" spans="1:11" ht="15">
      <c r="A1123" s="3">
        <v>2093</v>
      </c>
      <c r="B1123" s="63">
        <f t="shared" ca="1" si="50"/>
        <v>16.962858333333333</v>
      </c>
      <c r="C1123" s="63">
        <f t="shared" ca="1" si="50"/>
        <v>16.962858333333333</v>
      </c>
      <c r="D1123" s="63">
        <f t="shared" ca="1" si="50"/>
        <v>16.991150000000001</v>
      </c>
      <c r="E1123" s="63">
        <f t="shared" ca="1" si="50"/>
        <v>20.003391666666669</v>
      </c>
      <c r="F1123" s="63">
        <f t="shared" ca="1" si="50"/>
        <v>20.003391666666669</v>
      </c>
      <c r="G1123" s="63">
        <f t="shared" ca="1" si="50"/>
        <v>20.004533333333331</v>
      </c>
      <c r="H1123" s="63">
        <f t="shared" ca="1" si="50"/>
        <v>32.268808333333332</v>
      </c>
      <c r="I1123" s="63">
        <f t="shared" ca="1" si="50"/>
        <v>32.269916666666667</v>
      </c>
      <c r="J1123" s="63">
        <f t="shared" ca="1" si="50"/>
        <v>20.003391666666669</v>
      </c>
      <c r="K1123" s="63">
        <f t="shared" ca="1" si="50"/>
        <v>20.004533333333331</v>
      </c>
    </row>
    <row r="1124" spans="1:11" ht="15">
      <c r="A1124" s="3">
        <v>2094</v>
      </c>
      <c r="B1124" s="63">
        <f t="shared" ca="1" si="50"/>
        <v>17.210366666666665</v>
      </c>
      <c r="C1124" s="63">
        <f t="shared" ca="1" si="50"/>
        <v>17.210366666666665</v>
      </c>
      <c r="D1124" s="63">
        <f t="shared" ca="1" si="50"/>
        <v>17.238666666666663</v>
      </c>
      <c r="E1124" s="63">
        <f t="shared" ca="1" si="50"/>
        <v>20.298733333333335</v>
      </c>
      <c r="F1124" s="63">
        <f t="shared" ca="1" si="50"/>
        <v>20.298733333333335</v>
      </c>
      <c r="G1124" s="63">
        <f t="shared" ca="1" si="50"/>
        <v>20.299875</v>
      </c>
      <c r="H1124" s="63">
        <f t="shared" ca="1" si="50"/>
        <v>32.719841666666667</v>
      </c>
      <c r="I1124" s="63">
        <f t="shared" ca="1" si="50"/>
        <v>32.720958333333328</v>
      </c>
      <c r="J1124" s="63">
        <f t="shared" ca="1" si="50"/>
        <v>20.298733333333335</v>
      </c>
      <c r="K1124" s="63">
        <f t="shared" ca="1" si="50"/>
        <v>20.299875</v>
      </c>
    </row>
    <row r="1125" spans="1:11" ht="15">
      <c r="A1125" s="3">
        <v>2095</v>
      </c>
      <c r="B1125" s="63">
        <f t="shared" ca="1" si="50"/>
        <v>17.457874999999998</v>
      </c>
      <c r="C1125" s="63">
        <f t="shared" ca="1" si="50"/>
        <v>17.457874999999998</v>
      </c>
      <c r="D1125" s="63">
        <f t="shared" ca="1" si="50"/>
        <v>17.486183333333333</v>
      </c>
      <c r="E1125" s="63">
        <f t="shared" ca="1" si="50"/>
        <v>20.594083333333334</v>
      </c>
      <c r="F1125" s="63">
        <f t="shared" ca="1" si="50"/>
        <v>20.594083333333334</v>
      </c>
      <c r="G1125" s="63">
        <f t="shared" ca="1" si="50"/>
        <v>20.595216666666669</v>
      </c>
      <c r="H1125" s="63">
        <f t="shared" ca="1" si="50"/>
        <v>33.170858333333335</v>
      </c>
      <c r="I1125" s="63">
        <f t="shared" ca="1" si="50"/>
        <v>33.172008333333338</v>
      </c>
      <c r="J1125" s="63">
        <f t="shared" ca="1" si="50"/>
        <v>20.594083333333334</v>
      </c>
      <c r="K1125" s="63">
        <f t="shared" ca="1" si="50"/>
        <v>20.595216666666669</v>
      </c>
    </row>
    <row r="1126" spans="1:11" ht="15">
      <c r="A1126" s="3">
        <v>2096</v>
      </c>
      <c r="B1126" s="63">
        <f t="shared" ca="1" si="50"/>
        <v>17.705416666666668</v>
      </c>
      <c r="C1126" s="63">
        <f t="shared" ca="1" si="50"/>
        <v>17.705416666666668</v>
      </c>
      <c r="D1126" s="63">
        <f t="shared" ca="1" si="50"/>
        <v>17.733691666666669</v>
      </c>
      <c r="E1126" s="63">
        <f t="shared" ca="1" si="50"/>
        <v>20.889433333333333</v>
      </c>
      <c r="F1126" s="63">
        <f t="shared" ca="1" si="50"/>
        <v>20.889433333333333</v>
      </c>
      <c r="G1126" s="63">
        <f t="shared" ca="1" si="50"/>
        <v>20.890541666666667</v>
      </c>
      <c r="H1126" s="63">
        <f t="shared" ca="1" si="50"/>
        <v>33.621900000000004</v>
      </c>
      <c r="I1126" s="63">
        <f t="shared" ca="1" si="50"/>
        <v>33.623033333333339</v>
      </c>
      <c r="J1126" s="63">
        <f t="shared" ca="1" si="50"/>
        <v>20.889433333333333</v>
      </c>
      <c r="K1126" s="63">
        <f t="shared" ca="1" si="50"/>
        <v>20.890541666666667</v>
      </c>
    </row>
    <row r="1127" spans="1:11" ht="15">
      <c r="A1127" s="3">
        <v>2097</v>
      </c>
      <c r="B1127" s="63">
        <f t="shared" ca="1" si="50"/>
        <v>17.952933333333334</v>
      </c>
      <c r="C1127" s="63">
        <f t="shared" ca="1" si="50"/>
        <v>17.952933333333334</v>
      </c>
      <c r="D1127" s="63">
        <f t="shared" ca="1" si="50"/>
        <v>17.981233333333336</v>
      </c>
      <c r="E1127" s="63">
        <f t="shared" ca="1" si="50"/>
        <v>21.184783333333336</v>
      </c>
      <c r="F1127" s="63">
        <f t="shared" ca="1" si="50"/>
        <v>21.184783333333336</v>
      </c>
      <c r="G1127" s="63">
        <f t="shared" ca="1" si="50"/>
        <v>21.185891666666667</v>
      </c>
      <c r="H1127" s="63">
        <f t="shared" ca="1" si="50"/>
        <v>34.072941666666665</v>
      </c>
      <c r="I1127" s="63">
        <f t="shared" ca="1" si="50"/>
        <v>34.074058333333333</v>
      </c>
      <c r="J1127" s="63">
        <f t="shared" ca="1" si="50"/>
        <v>21.184783333333336</v>
      </c>
      <c r="K1127" s="63">
        <f t="shared" ca="1" si="50"/>
        <v>21.185891666666667</v>
      </c>
    </row>
    <row r="1128" spans="1:11" ht="15">
      <c r="A1128" s="3">
        <v>2098</v>
      </c>
      <c r="B1128" s="63">
        <f t="shared" ca="1" si="50"/>
        <v>18.200441666666666</v>
      </c>
      <c r="C1128" s="63">
        <f t="shared" ca="1" si="50"/>
        <v>18.200441666666666</v>
      </c>
      <c r="D1128" s="63">
        <f t="shared" ca="1" si="50"/>
        <v>18.228750000000002</v>
      </c>
      <c r="E1128" s="63">
        <f t="shared" ca="1" si="50"/>
        <v>21.480099999999997</v>
      </c>
      <c r="F1128" s="63">
        <f t="shared" ca="1" si="50"/>
        <v>21.480099999999997</v>
      </c>
      <c r="G1128" s="63">
        <f t="shared" ca="1" si="50"/>
        <v>21.481233333333336</v>
      </c>
      <c r="H1128" s="63">
        <f t="shared" ca="1" si="50"/>
        <v>34.523975</v>
      </c>
      <c r="I1128" s="63">
        <f t="shared" ca="1" si="50"/>
        <v>34.525091666666668</v>
      </c>
      <c r="J1128" s="63">
        <f t="shared" ca="1" si="50"/>
        <v>21.480099999999997</v>
      </c>
      <c r="K1128" s="63">
        <f t="shared" ca="1" si="50"/>
        <v>21.481233333333336</v>
      </c>
    </row>
    <row r="1129" spans="1:11" ht="15">
      <c r="A1129" s="3">
        <v>2099</v>
      </c>
      <c r="B1129" s="63">
        <f t="shared" ca="1" si="50"/>
        <v>18.447958333333332</v>
      </c>
      <c r="C1129" s="63">
        <f t="shared" ca="1" si="50"/>
        <v>18.447958333333332</v>
      </c>
      <c r="D1129" s="63">
        <f t="shared" ca="1" si="50"/>
        <v>18.476266666666668</v>
      </c>
      <c r="E1129" s="63">
        <f t="shared" ca="1" si="50"/>
        <v>21.77546666666667</v>
      </c>
      <c r="F1129" s="63">
        <f t="shared" ca="1" si="50"/>
        <v>21.77546666666667</v>
      </c>
      <c r="G1129" s="63">
        <f t="shared" ca="1" si="50"/>
        <v>21.776566666666668</v>
      </c>
      <c r="H1129" s="63">
        <f t="shared" ca="1" si="50"/>
        <v>34.975008333333335</v>
      </c>
      <c r="I1129" s="63">
        <f t="shared" ca="1" si="50"/>
        <v>34.97614166666667</v>
      </c>
      <c r="J1129" s="63">
        <f t="shared" ca="1" si="50"/>
        <v>21.77546666666667</v>
      </c>
      <c r="K1129" s="63">
        <f t="shared" ca="1" si="50"/>
        <v>21.776566666666668</v>
      </c>
    </row>
    <row r="1130" spans="1:11" ht="15">
      <c r="A1130" s="3">
        <v>2100</v>
      </c>
      <c r="B1130" s="63">
        <f t="shared" ca="1" si="50"/>
        <v>18.695491666666666</v>
      </c>
      <c r="C1130" s="63">
        <f t="shared" ca="1" si="50"/>
        <v>18.695491666666666</v>
      </c>
      <c r="D1130" s="63">
        <f t="shared" ca="1" si="50"/>
        <v>18.723775</v>
      </c>
      <c r="E1130" s="63">
        <f t="shared" ca="1" si="50"/>
        <v>22.070808333333336</v>
      </c>
      <c r="F1130" s="63">
        <f t="shared" ca="1" si="50"/>
        <v>22.070808333333336</v>
      </c>
      <c r="G1130" s="63">
        <f t="shared" ca="1" si="50"/>
        <v>22.07193333333333</v>
      </c>
      <c r="H1130" s="63">
        <f t="shared" ca="1" si="50"/>
        <v>35.426049999999996</v>
      </c>
      <c r="I1130" s="63">
        <f t="shared" ca="1" si="50"/>
        <v>35.427166666666672</v>
      </c>
      <c r="J1130" s="63">
        <f t="shared" ca="1" si="50"/>
        <v>22.070808333333336</v>
      </c>
      <c r="K1130" s="63">
        <f t="shared" ca="1" si="50"/>
        <v>22.07193333333333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7"/>
  <sheetViews>
    <sheetView showGridLines="0" zoomScale="70" zoomScaleNormal="70" workbookViewId="0">
      <selection activeCell="P33" sqref="P33"/>
    </sheetView>
  </sheetViews>
  <sheetFormatPr defaultColWidth="8.88671875" defaultRowHeight="15.75"/>
  <cols>
    <col min="1" max="1" width="8.88671875" style="76"/>
    <col min="2" max="2" width="15.5546875" style="76" bestFit="1" customWidth="1"/>
    <col min="3" max="3" width="9.5546875" style="76" bestFit="1" customWidth="1"/>
    <col min="4" max="16384" width="8.88671875" style="76"/>
  </cols>
  <sheetData>
    <row r="1" spans="1:3">
      <c r="A1" s="84" t="s">
        <v>64</v>
      </c>
    </row>
    <row r="2" spans="1:3">
      <c r="A2" s="84" t="s">
        <v>65</v>
      </c>
    </row>
    <row r="3" spans="1:3">
      <c r="A3" s="84" t="s">
        <v>66</v>
      </c>
    </row>
    <row r="4" spans="1:3">
      <c r="A4" s="84" t="s">
        <v>67</v>
      </c>
    </row>
    <row r="5" spans="1:3">
      <c r="A5" s="84" t="s">
        <v>69</v>
      </c>
    </row>
    <row r="6" spans="1:3">
      <c r="A6" s="84" t="s">
        <v>70</v>
      </c>
    </row>
    <row r="8" spans="1:3">
      <c r="B8" s="81" t="s">
        <v>63</v>
      </c>
      <c r="C8" s="81" t="s">
        <v>54</v>
      </c>
    </row>
    <row r="9" spans="1:3">
      <c r="B9" s="83" t="s">
        <v>61</v>
      </c>
      <c r="C9" s="93">
        <v>2</v>
      </c>
    </row>
    <row r="10" spans="1:3">
      <c r="B10" s="83" t="s">
        <v>60</v>
      </c>
      <c r="C10" s="95"/>
    </row>
    <row r="11" spans="1:3">
      <c r="B11" s="82" t="s">
        <v>59</v>
      </c>
      <c r="C11" s="94"/>
    </row>
    <row r="14" spans="1:3">
      <c r="B14" s="81" t="s">
        <v>55</v>
      </c>
      <c r="C14" s="81" t="s">
        <v>54</v>
      </c>
    </row>
    <row r="15" spans="1:3">
      <c r="B15" s="83" t="s">
        <v>61</v>
      </c>
      <c r="C15" s="93">
        <v>2</v>
      </c>
    </row>
    <row r="16" spans="1:3">
      <c r="B16" s="83" t="s">
        <v>60</v>
      </c>
      <c r="C16" s="95"/>
    </row>
    <row r="17" spans="2:3">
      <c r="B17" s="82" t="s">
        <v>59</v>
      </c>
      <c r="C17" s="94"/>
    </row>
    <row r="21" spans="2:3">
      <c r="B21" s="81" t="s">
        <v>62</v>
      </c>
      <c r="C21" s="81" t="s">
        <v>54</v>
      </c>
    </row>
    <row r="22" spans="2:3">
      <c r="B22" s="83" t="s">
        <v>61</v>
      </c>
      <c r="C22" s="93">
        <v>2</v>
      </c>
    </row>
    <row r="23" spans="2:3">
      <c r="B23" s="83" t="s">
        <v>60</v>
      </c>
      <c r="C23" s="95"/>
    </row>
    <row r="24" spans="2:3">
      <c r="B24" s="82" t="s">
        <v>59</v>
      </c>
      <c r="C24" s="94"/>
    </row>
    <row r="27" spans="2:3">
      <c r="B27" s="81" t="s">
        <v>58</v>
      </c>
      <c r="C27" s="81" t="s">
        <v>54</v>
      </c>
    </row>
    <row r="28" spans="2:3">
      <c r="B28" s="80" t="s">
        <v>57</v>
      </c>
      <c r="C28" s="93">
        <v>1</v>
      </c>
    </row>
    <row r="29" spans="2:3">
      <c r="B29" s="79" t="s">
        <v>56</v>
      </c>
      <c r="C29" s="94"/>
    </row>
    <row r="31" spans="2:3">
      <c r="B31" s="81" t="s">
        <v>55</v>
      </c>
      <c r="C31" s="81" t="s">
        <v>54</v>
      </c>
    </row>
    <row r="32" spans="2:3">
      <c r="B32" s="80" t="s">
        <v>53</v>
      </c>
      <c r="C32" s="93">
        <v>1</v>
      </c>
    </row>
    <row r="33" spans="2:5">
      <c r="B33" s="79" t="s">
        <v>52</v>
      </c>
      <c r="C33" s="94"/>
    </row>
    <row r="37" spans="2:5">
      <c r="C37" s="78"/>
      <c r="E37" s="77"/>
    </row>
  </sheetData>
  <mergeCells count="5">
    <mergeCell ref="C32:C33"/>
    <mergeCell ref="C22:C24"/>
    <mergeCell ref="C28:C29"/>
    <mergeCell ref="C9:C11"/>
    <mergeCell ref="C15:C17"/>
  </mergeCells>
  <pageMargins left="0.25" right="0.25" top="0.5" bottom="0.5" header="0.25" footer="0.25"/>
  <pageSetup paperSize="119"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2016-07-29T16:29:06Z</dcterms:created>
  <dcterms:modified xsi:type="dcterms:W3CDTF">2016-07-29T16:29:10Z</dcterms:modified>
</cp:coreProperties>
</file>